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5725"/>
  <workbookPr codeName="ThisWorkbook" autoCompressPictures="0"/>
  <bookViews>
    <workbookView xWindow="0" yWindow="0" windowWidth="27460" windowHeight="11640" tabRatio="784" firstSheet="2" activeTab="2"/>
  </bookViews>
  <sheets>
    <sheet name="NOTES" sheetId="22" state="hidden" r:id="rId1"/>
    <sheet name="Budget STRRA" sheetId="6" state="hidden" r:id="rId2"/>
    <sheet name="FY 15" sheetId="20" r:id="rId3"/>
    <sheet name="FY 16" sheetId="8" r:id="rId4"/>
    <sheet name="State totals FY 15-21" sheetId="24" state="hidden" r:id="rId5"/>
    <sheet name="Revised state totals " sheetId="26" state="hidden" r:id="rId6"/>
    <sheet name="FY 17" sheetId="31" r:id="rId7"/>
    <sheet name="FY18" sheetId="32" r:id="rId8"/>
    <sheet name="FY19" sheetId="33" r:id="rId9"/>
    <sheet name="FY20" sheetId="34" r:id="rId10"/>
    <sheet name="State Totals" sheetId="27" r:id="rId11"/>
    <sheet name="Program Totals" sheetId="30" r:id="rId1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78" i="27" l="1"/>
  <c r="N65" i="20"/>
  <c r="N64" i="20"/>
  <c r="N63" i="20"/>
  <c r="N62" i="20"/>
  <c r="S62" i="20"/>
  <c r="N61" i="20"/>
  <c r="S61" i="20"/>
  <c r="N60" i="20"/>
  <c r="S60" i="20"/>
  <c r="N59" i="20"/>
  <c r="S59" i="20"/>
  <c r="N58" i="20"/>
  <c r="N57" i="20"/>
  <c r="N56" i="20"/>
  <c r="N55" i="20"/>
  <c r="N54" i="20"/>
  <c r="S54" i="20"/>
  <c r="N53" i="20"/>
  <c r="S53" i="20"/>
  <c r="N52" i="20"/>
  <c r="S52" i="20"/>
  <c r="N51" i="20"/>
  <c r="S51" i="20"/>
  <c r="N50" i="20"/>
  <c r="N49" i="20"/>
  <c r="N48" i="20"/>
  <c r="N47" i="20"/>
  <c r="N46" i="20"/>
  <c r="S46" i="20"/>
  <c r="N45" i="20"/>
  <c r="S45" i="20"/>
  <c r="N44" i="20"/>
  <c r="S44" i="20"/>
  <c r="N43" i="20"/>
  <c r="S43" i="20"/>
  <c r="N42" i="20"/>
  <c r="N41" i="20"/>
  <c r="N40" i="20"/>
  <c r="N39" i="20"/>
  <c r="N38" i="20"/>
  <c r="S38" i="20"/>
  <c r="N37" i="20"/>
  <c r="S37" i="20"/>
  <c r="N36" i="20"/>
  <c r="S36" i="20"/>
  <c r="N35" i="20"/>
  <c r="S35" i="20"/>
  <c r="N34" i="20"/>
  <c r="N33" i="20"/>
  <c r="N32" i="20"/>
  <c r="N31" i="20"/>
  <c r="N30" i="20"/>
  <c r="S30" i="20"/>
  <c r="N29" i="20"/>
  <c r="S29" i="20"/>
  <c r="N28" i="20"/>
  <c r="S28" i="20"/>
  <c r="N27" i="20"/>
  <c r="S27" i="20"/>
  <c r="N26" i="20"/>
  <c r="N25" i="20"/>
  <c r="N24" i="20"/>
  <c r="N23" i="20"/>
  <c r="N22" i="20"/>
  <c r="S22" i="20"/>
  <c r="N21" i="20"/>
  <c r="S21" i="20"/>
  <c r="N20" i="20"/>
  <c r="S20" i="20"/>
  <c r="N19" i="20"/>
  <c r="S19" i="20"/>
  <c r="N18" i="20"/>
  <c r="N17" i="20"/>
  <c r="N16" i="20"/>
  <c r="N15" i="20"/>
  <c r="N14" i="20"/>
  <c r="S14" i="20"/>
  <c r="N13" i="20"/>
  <c r="S13" i="20"/>
  <c r="N12" i="20"/>
  <c r="S12" i="20"/>
  <c r="N11" i="20"/>
  <c r="S11" i="20"/>
  <c r="N10" i="20"/>
  <c r="G83" i="8"/>
  <c r="L61" i="30"/>
  <c r="Z67" i="34"/>
  <c r="Z70" i="34"/>
  <c r="Z75" i="34"/>
  <c r="Z67" i="33"/>
  <c r="Z70" i="33"/>
  <c r="Z75" i="33"/>
  <c r="Z67" i="32"/>
  <c r="Y70" i="32"/>
  <c r="Y70" i="33"/>
  <c r="Y70" i="34"/>
  <c r="Z70" i="32"/>
  <c r="Z75" i="32"/>
  <c r="Z67" i="31"/>
  <c r="Z70" i="31"/>
  <c r="Z75" i="31"/>
  <c r="Z67" i="8"/>
  <c r="Y70" i="8"/>
  <c r="L12" i="30"/>
  <c r="I70" i="34"/>
  <c r="I75" i="34"/>
  <c r="L14" i="30"/>
  <c r="G77" i="34"/>
  <c r="G80" i="34"/>
  <c r="G79" i="34"/>
  <c r="H79" i="34"/>
  <c r="G70" i="34"/>
  <c r="K12" i="30"/>
  <c r="K14" i="30"/>
  <c r="J12" i="30"/>
  <c r="I12" i="30"/>
  <c r="I14" i="30"/>
  <c r="H12" i="30"/>
  <c r="I70" i="32"/>
  <c r="I75" i="32"/>
  <c r="G12" i="30"/>
  <c r="G14" i="30"/>
  <c r="F12" i="30"/>
  <c r="D12" i="30"/>
  <c r="D14" i="30"/>
  <c r="L10" i="30"/>
  <c r="K10" i="30"/>
  <c r="J10" i="30"/>
  <c r="E70" i="33"/>
  <c r="I10" i="30"/>
  <c r="H10" i="30"/>
  <c r="E70" i="32"/>
  <c r="G10" i="30"/>
  <c r="F10" i="30"/>
  <c r="L9" i="30"/>
  <c r="K9" i="30"/>
  <c r="J9" i="30"/>
  <c r="C70" i="33"/>
  <c r="I9" i="30"/>
  <c r="H9" i="30"/>
  <c r="G9" i="30"/>
  <c r="F9" i="30"/>
  <c r="D10" i="30"/>
  <c r="D9" i="30"/>
  <c r="F4" i="30"/>
  <c r="D82" i="27"/>
  <c r="L4" i="30"/>
  <c r="K4" i="30"/>
  <c r="J4" i="30"/>
  <c r="F82" i="27"/>
  <c r="I4" i="30"/>
  <c r="H4" i="30"/>
  <c r="G4" i="30"/>
  <c r="D4" i="30"/>
  <c r="G77" i="8"/>
  <c r="F68" i="8"/>
  <c r="F77" i="27"/>
  <c r="F76" i="27"/>
  <c r="F75" i="27"/>
  <c r="F74" i="27"/>
  <c r="F73" i="27"/>
  <c r="F72" i="27"/>
  <c r="F71" i="27"/>
  <c r="F70" i="27"/>
  <c r="F69" i="27"/>
  <c r="J23" i="30"/>
  <c r="J22" i="30"/>
  <c r="F68" i="27"/>
  <c r="F67" i="27"/>
  <c r="F66" i="27"/>
  <c r="C68" i="33"/>
  <c r="E68" i="33"/>
  <c r="E67" i="33"/>
  <c r="G68" i="33"/>
  <c r="K70" i="33"/>
  <c r="M68" i="33"/>
  <c r="J37" i="30"/>
  <c r="U70" i="33"/>
  <c r="C70" i="32"/>
  <c r="G68" i="32"/>
  <c r="K70" i="32"/>
  <c r="K75" i="32"/>
  <c r="K68" i="32"/>
  <c r="K67" i="32"/>
  <c r="M68" i="32"/>
  <c r="H37" i="30"/>
  <c r="U70" i="32"/>
  <c r="C70" i="31"/>
  <c r="C68" i="31"/>
  <c r="E70" i="31"/>
  <c r="E68" i="31"/>
  <c r="E67" i="31"/>
  <c r="G68" i="31"/>
  <c r="K70" i="31"/>
  <c r="M68" i="31"/>
  <c r="F37" i="30"/>
  <c r="U70" i="31"/>
  <c r="F38" i="30"/>
  <c r="W70" i="31"/>
  <c r="U68" i="31"/>
  <c r="C70" i="8"/>
  <c r="E70" i="8"/>
  <c r="E68" i="8"/>
  <c r="G68" i="8"/>
  <c r="K70" i="8"/>
  <c r="M68" i="8"/>
  <c r="D37" i="30"/>
  <c r="U70" i="8"/>
  <c r="E70" i="27"/>
  <c r="E76" i="27"/>
  <c r="E75" i="27"/>
  <c r="E74" i="27"/>
  <c r="E77" i="27"/>
  <c r="E73" i="27"/>
  <c r="E72" i="27"/>
  <c r="E71" i="27"/>
  <c r="E69" i="27"/>
  <c r="H23" i="30"/>
  <c r="E67" i="27"/>
  <c r="E66" i="27"/>
  <c r="D77" i="27"/>
  <c r="D76" i="27"/>
  <c r="D75" i="27"/>
  <c r="D74" i="27"/>
  <c r="D73" i="27"/>
  <c r="D72" i="27"/>
  <c r="D71" i="27"/>
  <c r="D70" i="27"/>
  <c r="D69" i="27"/>
  <c r="F23" i="30"/>
  <c r="D67" i="27"/>
  <c r="D66" i="27"/>
  <c r="C77" i="27"/>
  <c r="C76" i="27"/>
  <c r="C75" i="27"/>
  <c r="C74" i="27"/>
  <c r="C73" i="27"/>
  <c r="C72" i="27"/>
  <c r="C71" i="27"/>
  <c r="C70" i="27"/>
  <c r="C69" i="27"/>
  <c r="D23" i="30"/>
  <c r="D22" i="30"/>
  <c r="C68" i="27"/>
  <c r="C67" i="27"/>
  <c r="C66" i="27"/>
  <c r="E82" i="27"/>
  <c r="C82" i="27"/>
  <c r="B82" i="27"/>
  <c r="G73" i="27"/>
  <c r="G72" i="27"/>
  <c r="G71" i="27"/>
  <c r="G82" i="27"/>
  <c r="G77" i="27"/>
  <c r="G76" i="27"/>
  <c r="G75" i="27"/>
  <c r="G70" i="27"/>
  <c r="G74" i="27"/>
  <c r="G69" i="27"/>
  <c r="L23" i="30"/>
  <c r="L22" i="30"/>
  <c r="G68" i="27"/>
  <c r="G67" i="27"/>
  <c r="G66" i="27"/>
  <c r="C70" i="34"/>
  <c r="C68" i="34"/>
  <c r="E70" i="34"/>
  <c r="G68" i="34"/>
  <c r="K70" i="34"/>
  <c r="K68" i="34"/>
  <c r="M68" i="34"/>
  <c r="L37" i="30"/>
  <c r="U70" i="34"/>
  <c r="G72" i="34"/>
  <c r="I67" i="34"/>
  <c r="I29" i="34"/>
  <c r="L18" i="30"/>
  <c r="M77" i="34"/>
  <c r="I79" i="34"/>
  <c r="M70" i="34"/>
  <c r="O74" i="34"/>
  <c r="O70" i="34"/>
  <c r="Q70" i="34"/>
  <c r="S70" i="34"/>
  <c r="S75" i="34"/>
  <c r="L38" i="30"/>
  <c r="W70" i="34"/>
  <c r="Y71" i="34"/>
  <c r="AA71" i="34"/>
  <c r="AB71" i="34"/>
  <c r="AC75" i="34"/>
  <c r="Z80" i="34"/>
  <c r="K75" i="34"/>
  <c r="AB74" i="34"/>
  <c r="AB73" i="34"/>
  <c r="AB72" i="34"/>
  <c r="AB69" i="34"/>
  <c r="K67" i="34"/>
  <c r="K65" i="34"/>
  <c r="K43" i="34"/>
  <c r="K40" i="34"/>
  <c r="K31" i="34"/>
  <c r="K29" i="34"/>
  <c r="K27" i="34"/>
  <c r="K20" i="34"/>
  <c r="J61" i="30"/>
  <c r="AC75" i="33"/>
  <c r="Y71" i="33"/>
  <c r="AA71" i="33"/>
  <c r="AB71" i="33"/>
  <c r="J38" i="30"/>
  <c r="W70" i="33"/>
  <c r="S70" i="33"/>
  <c r="Q70" i="33"/>
  <c r="O74" i="33"/>
  <c r="AB74" i="33"/>
  <c r="J18" i="30"/>
  <c r="M77" i="33"/>
  <c r="G79" i="33"/>
  <c r="H79" i="33"/>
  <c r="I79" i="33"/>
  <c r="M70" i="33"/>
  <c r="G80" i="33"/>
  <c r="G72" i="33"/>
  <c r="AB72" i="33"/>
  <c r="Z80" i="33"/>
  <c r="K75" i="33"/>
  <c r="E75" i="33"/>
  <c r="AB73" i="33"/>
  <c r="W75" i="33"/>
  <c r="S75" i="33"/>
  <c r="AB69" i="33"/>
  <c r="S67" i="33"/>
  <c r="S12" i="33"/>
  <c r="H61" i="30"/>
  <c r="AC75" i="32"/>
  <c r="Y71" i="32"/>
  <c r="AA71" i="32"/>
  <c r="AB71" i="32"/>
  <c r="H38" i="30"/>
  <c r="W70" i="32"/>
  <c r="W67" i="32"/>
  <c r="S70" i="32"/>
  <c r="Q70" i="32"/>
  <c r="H18" i="30"/>
  <c r="M77" i="32"/>
  <c r="G80" i="32"/>
  <c r="G79" i="32"/>
  <c r="G72" i="32"/>
  <c r="Z80" i="32"/>
  <c r="AB73" i="32"/>
  <c r="AB72" i="32"/>
  <c r="W75" i="32"/>
  <c r="S75" i="32"/>
  <c r="AB69" i="32"/>
  <c r="S67" i="32"/>
  <c r="S53" i="32"/>
  <c r="S42" i="32"/>
  <c r="S36" i="32"/>
  <c r="S24" i="32"/>
  <c r="S20" i="32"/>
  <c r="S10" i="32"/>
  <c r="F61" i="30"/>
  <c r="AC75" i="31"/>
  <c r="Y71" i="31"/>
  <c r="S70" i="31"/>
  <c r="Q70" i="31"/>
  <c r="Q75" i="31"/>
  <c r="F18" i="30"/>
  <c r="M77" i="31"/>
  <c r="G72" i="31"/>
  <c r="G80" i="31"/>
  <c r="G79" i="31"/>
  <c r="Z80" i="31"/>
  <c r="AB73" i="31"/>
  <c r="AB72" i="31"/>
  <c r="AA71" i="31"/>
  <c r="AB71" i="31"/>
  <c r="W67" i="31"/>
  <c r="W38" i="31"/>
  <c r="AB69" i="31"/>
  <c r="Q67" i="31"/>
  <c r="Q46" i="31"/>
  <c r="W27" i="31"/>
  <c r="W18" i="31"/>
  <c r="W13" i="31"/>
  <c r="W11" i="31"/>
  <c r="D61" i="30"/>
  <c r="AC75" i="8"/>
  <c r="K61" i="30"/>
  <c r="I61" i="30"/>
  <c r="G61" i="30"/>
  <c r="O74" i="8"/>
  <c r="AB74" i="8"/>
  <c r="O70" i="8"/>
  <c r="O67" i="8"/>
  <c r="O39" i="8"/>
  <c r="D18" i="30"/>
  <c r="M77" i="8"/>
  <c r="G72" i="8"/>
  <c r="AB72" i="8"/>
  <c r="I70" i="8"/>
  <c r="I67" i="8"/>
  <c r="G79" i="8"/>
  <c r="G80" i="8"/>
  <c r="Y71" i="8"/>
  <c r="D38" i="30"/>
  <c r="W70" i="8"/>
  <c r="W67" i="8"/>
  <c r="W12" i="8"/>
  <c r="S70" i="8"/>
  <c r="S67" i="8"/>
  <c r="S53" i="8"/>
  <c r="Q70" i="8"/>
  <c r="Q67" i="8"/>
  <c r="Q64" i="8"/>
  <c r="E67" i="8"/>
  <c r="E41" i="8"/>
  <c r="K23" i="30"/>
  <c r="K22" i="30"/>
  <c r="K18" i="30"/>
  <c r="I23" i="30"/>
  <c r="G23" i="30"/>
  <c r="G22" i="30"/>
  <c r="G18" i="30"/>
  <c r="K47" i="30"/>
  <c r="I47" i="30"/>
  <c r="G47" i="30"/>
  <c r="K46" i="30"/>
  <c r="I46" i="30"/>
  <c r="G46" i="30"/>
  <c r="E46" i="30"/>
  <c r="E47" i="30"/>
  <c r="K38" i="30"/>
  <c r="I38" i="30"/>
  <c r="G38" i="30"/>
  <c r="K37" i="30"/>
  <c r="I37" i="30"/>
  <c r="G37" i="30"/>
  <c r="S61" i="8"/>
  <c r="S57" i="8"/>
  <c r="S56" i="8"/>
  <c r="S49" i="8"/>
  <c r="S40" i="8"/>
  <c r="S37" i="8"/>
  <c r="S33" i="8"/>
  <c r="S32" i="8"/>
  <c r="S29" i="8"/>
  <c r="S21" i="8"/>
  <c r="S17" i="8"/>
  <c r="S16" i="8"/>
  <c r="S13" i="8"/>
  <c r="AB73" i="8"/>
  <c r="K15" i="34"/>
  <c r="K17" i="34"/>
  <c r="K34" i="34"/>
  <c r="K38" i="34"/>
  <c r="K41" i="34"/>
  <c r="K46" i="34"/>
  <c r="K55" i="34"/>
  <c r="K14" i="34"/>
  <c r="K22" i="34"/>
  <c r="K28" i="34"/>
  <c r="K30" i="34"/>
  <c r="K36" i="34"/>
  <c r="K49" i="34"/>
  <c r="K53" i="34"/>
  <c r="K59" i="34"/>
  <c r="K16" i="34"/>
  <c r="K19" i="34"/>
  <c r="K45" i="34"/>
  <c r="K51" i="34"/>
  <c r="K63" i="34"/>
  <c r="I58" i="34"/>
  <c r="I55" i="34"/>
  <c r="Q75" i="34"/>
  <c r="Q67" i="34"/>
  <c r="S67" i="34"/>
  <c r="K66" i="34"/>
  <c r="K64" i="34"/>
  <c r="K62" i="34"/>
  <c r="K60" i="34"/>
  <c r="K58" i="34"/>
  <c r="K50" i="34"/>
  <c r="K48" i="34"/>
  <c r="C75" i="34"/>
  <c r="S13" i="33"/>
  <c r="S22" i="33"/>
  <c r="E39" i="33"/>
  <c r="Q75" i="33"/>
  <c r="Q67" i="33"/>
  <c r="S58" i="33"/>
  <c r="S56" i="33"/>
  <c r="S54" i="33"/>
  <c r="S65" i="33"/>
  <c r="S57" i="33"/>
  <c r="S39" i="33"/>
  <c r="S37" i="33"/>
  <c r="S35" i="33"/>
  <c r="S33" i="33"/>
  <c r="S31" i="33"/>
  <c r="S17" i="33"/>
  <c r="C67" i="33"/>
  <c r="C75" i="33"/>
  <c r="W67" i="33"/>
  <c r="S14" i="32"/>
  <c r="S18" i="32"/>
  <c r="S28" i="32"/>
  <c r="S38" i="32"/>
  <c r="S44" i="32"/>
  <c r="S51" i="32"/>
  <c r="S61" i="32"/>
  <c r="S12" i="32"/>
  <c r="S15" i="32"/>
  <c r="S22" i="32"/>
  <c r="S26" i="32"/>
  <c r="S32" i="32"/>
  <c r="S46" i="32"/>
  <c r="Q75" i="32"/>
  <c r="Q67" i="32"/>
  <c r="S66" i="32"/>
  <c r="S64" i="32"/>
  <c r="S62" i="32"/>
  <c r="S60" i="32"/>
  <c r="S58" i="32"/>
  <c r="S56" i="32"/>
  <c r="S54" i="32"/>
  <c r="S52" i="32"/>
  <c r="S50" i="32"/>
  <c r="S48" i="32"/>
  <c r="S65" i="32"/>
  <c r="S63" i="32"/>
  <c r="S55" i="32"/>
  <c r="S47" i="32"/>
  <c r="S45" i="32"/>
  <c r="S43" i="32"/>
  <c r="S41" i="32"/>
  <c r="S39" i="32"/>
  <c r="S37" i="32"/>
  <c r="S35" i="32"/>
  <c r="S33" i="32"/>
  <c r="S31" i="32"/>
  <c r="S29" i="32"/>
  <c r="S27" i="32"/>
  <c r="S25" i="32"/>
  <c r="S23" i="32"/>
  <c r="S21" i="32"/>
  <c r="S19" i="32"/>
  <c r="S17" i="32"/>
  <c r="Q36" i="31"/>
  <c r="Q50" i="31"/>
  <c r="Q45" i="31"/>
  <c r="Q48" i="31"/>
  <c r="Q42" i="31"/>
  <c r="Q12" i="31"/>
  <c r="Q14" i="31"/>
  <c r="Q20" i="31"/>
  <c r="Q28" i="31"/>
  <c r="Q30" i="31"/>
  <c r="Q44" i="31"/>
  <c r="Q63" i="31"/>
  <c r="Q60" i="31"/>
  <c r="Q55" i="31"/>
  <c r="Q52" i="31"/>
  <c r="Q47" i="31"/>
  <c r="Q43" i="31"/>
  <c r="Q40" i="31"/>
  <c r="Q39" i="31"/>
  <c r="Q37" i="31"/>
  <c r="Q35" i="31"/>
  <c r="Q33" i="31"/>
  <c r="Q31" i="31"/>
  <c r="Q29" i="31"/>
  <c r="Q27" i="31"/>
  <c r="Q25" i="31"/>
  <c r="Q23" i="31"/>
  <c r="Q21" i="31"/>
  <c r="Q19" i="31"/>
  <c r="Q17" i="31"/>
  <c r="Q15" i="31"/>
  <c r="Q13" i="31"/>
  <c r="Q11" i="31"/>
  <c r="Q16" i="31"/>
  <c r="Q24" i="31"/>
  <c r="Q32" i="31"/>
  <c r="Q38" i="31"/>
  <c r="Q41" i="31"/>
  <c r="Q49" i="31"/>
  <c r="Q51" i="31"/>
  <c r="Q53" i="31"/>
  <c r="Q54" i="31"/>
  <c r="Q56" i="31"/>
  <c r="Q57" i="31"/>
  <c r="Q58" i="31"/>
  <c r="Q59" i="31"/>
  <c r="Q61" i="31"/>
  <c r="Q62" i="31"/>
  <c r="Q64" i="31"/>
  <c r="Q66" i="31"/>
  <c r="E75" i="31"/>
  <c r="U75" i="31"/>
  <c r="U67" i="31"/>
  <c r="W66" i="31"/>
  <c r="W58" i="31"/>
  <c r="W56" i="31"/>
  <c r="W54" i="31"/>
  <c r="W50" i="31"/>
  <c r="W51" i="31"/>
  <c r="W44" i="31"/>
  <c r="W42" i="31"/>
  <c r="W40" i="31"/>
  <c r="W57" i="31"/>
  <c r="W12" i="31"/>
  <c r="W15" i="31"/>
  <c r="W20" i="31"/>
  <c r="W28" i="31"/>
  <c r="W31" i="31"/>
  <c r="W39" i="31"/>
  <c r="W41" i="31"/>
  <c r="W45" i="31"/>
  <c r="W61" i="31"/>
  <c r="W63" i="31"/>
  <c r="W65" i="31"/>
  <c r="W75" i="31"/>
  <c r="C75" i="31"/>
  <c r="C67" i="31"/>
  <c r="S75" i="31"/>
  <c r="S67" i="31"/>
  <c r="O55" i="8"/>
  <c r="O43" i="8"/>
  <c r="O23" i="8"/>
  <c r="O11" i="8"/>
  <c r="O29" i="8"/>
  <c r="O64" i="8"/>
  <c r="O24" i="8"/>
  <c r="O62" i="8"/>
  <c r="O42" i="8"/>
  <c r="O30" i="8"/>
  <c r="O10" i="8"/>
  <c r="O49" i="8"/>
  <c r="O60" i="8"/>
  <c r="O36" i="8"/>
  <c r="S10" i="8"/>
  <c r="S14" i="8"/>
  <c r="S18" i="8"/>
  <c r="S22" i="8"/>
  <c r="S26" i="8"/>
  <c r="S30" i="8"/>
  <c r="S34" i="8"/>
  <c r="S38" i="8"/>
  <c r="S42" i="8"/>
  <c r="S46" i="8"/>
  <c r="S50" i="8"/>
  <c r="S54" i="8"/>
  <c r="S58" i="8"/>
  <c r="S62" i="8"/>
  <c r="S66" i="8"/>
  <c r="S11" i="8"/>
  <c r="S15" i="8"/>
  <c r="S19" i="8"/>
  <c r="S23" i="8"/>
  <c r="S27" i="8"/>
  <c r="S31" i="8"/>
  <c r="S35" i="8"/>
  <c r="S39" i="8"/>
  <c r="S43" i="8"/>
  <c r="S47" i="8"/>
  <c r="S51" i="8"/>
  <c r="S55" i="8"/>
  <c r="S59" i="8"/>
  <c r="Q32" i="8"/>
  <c r="Q29" i="8"/>
  <c r="E53" i="8"/>
  <c r="E21" i="8"/>
  <c r="E35" i="8"/>
  <c r="E44" i="8"/>
  <c r="E47" i="8"/>
  <c r="E46" i="8"/>
  <c r="E14" i="8"/>
  <c r="B64" i="27"/>
  <c r="B79" i="27"/>
  <c r="H82" i="26"/>
  <c r="H84" i="26"/>
  <c r="H69" i="26"/>
  <c r="G82" i="26"/>
  <c r="G84" i="26"/>
  <c r="G69" i="26"/>
  <c r="F82" i="26"/>
  <c r="F84" i="26"/>
  <c r="F69" i="26"/>
  <c r="E82" i="26"/>
  <c r="E84" i="26"/>
  <c r="E69" i="26"/>
  <c r="D82" i="26"/>
  <c r="D84" i="26"/>
  <c r="D69" i="26"/>
  <c r="C82" i="26"/>
  <c r="C84" i="26"/>
  <c r="C69" i="26"/>
  <c r="C85" i="26"/>
  <c r="B82" i="26"/>
  <c r="S66" i="34"/>
  <c r="S64" i="34"/>
  <c r="S62" i="34"/>
  <c r="S60" i="34"/>
  <c r="S58" i="34"/>
  <c r="S56" i="34"/>
  <c r="S54" i="34"/>
  <c r="S52" i="34"/>
  <c r="S50" i="34"/>
  <c r="S48" i="34"/>
  <c r="S63" i="34"/>
  <c r="S55" i="34"/>
  <c r="S47" i="34"/>
  <c r="S45" i="34"/>
  <c r="S43" i="34"/>
  <c r="S41" i="34"/>
  <c r="S39" i="34"/>
  <c r="S37" i="34"/>
  <c r="S61" i="34"/>
  <c r="S53" i="34"/>
  <c r="S59" i="34"/>
  <c r="S51" i="34"/>
  <c r="S32" i="34"/>
  <c r="S28" i="34"/>
  <c r="S24" i="34"/>
  <c r="S20" i="34"/>
  <c r="S16" i="34"/>
  <c r="S12" i="34"/>
  <c r="S65" i="34"/>
  <c r="S57" i="34"/>
  <c r="S49" i="34"/>
  <c r="S46" i="34"/>
  <c r="S44" i="34"/>
  <c r="S42" i="34"/>
  <c r="S40" i="34"/>
  <c r="S38" i="34"/>
  <c r="S36" i="34"/>
  <c r="S33" i="34"/>
  <c r="S29" i="34"/>
  <c r="S25" i="34"/>
  <c r="S21" i="34"/>
  <c r="S17" i="34"/>
  <c r="S13" i="34"/>
  <c r="S34" i="34"/>
  <c r="S30" i="34"/>
  <c r="S26" i="34"/>
  <c r="S27" i="34"/>
  <c r="S14" i="34"/>
  <c r="S11" i="34"/>
  <c r="S31" i="34"/>
  <c r="S18" i="34"/>
  <c r="S15" i="34"/>
  <c r="S35" i="34"/>
  <c r="S22" i="34"/>
  <c r="S19" i="34"/>
  <c r="S23" i="34"/>
  <c r="S10" i="34"/>
  <c r="S80" i="34"/>
  <c r="C67" i="34"/>
  <c r="Q65" i="34"/>
  <c r="Q60" i="34"/>
  <c r="Q57" i="34"/>
  <c r="Q52" i="34"/>
  <c r="Q49" i="34"/>
  <c r="Q66" i="34"/>
  <c r="Q63" i="34"/>
  <c r="Q58" i="34"/>
  <c r="Q55" i="34"/>
  <c r="Q50" i="34"/>
  <c r="Q47" i="34"/>
  <c r="Q45" i="34"/>
  <c r="Q43" i="34"/>
  <c r="Q41" i="34"/>
  <c r="Q39" i="34"/>
  <c r="Q37" i="34"/>
  <c r="Q35" i="34"/>
  <c r="Q33" i="34"/>
  <c r="Q31" i="34"/>
  <c r="Q29" i="34"/>
  <c r="Q27" i="34"/>
  <c r="Q25" i="34"/>
  <c r="Q23" i="34"/>
  <c r="Q21" i="34"/>
  <c r="Q19" i="34"/>
  <c r="Q17" i="34"/>
  <c r="Q15" i="34"/>
  <c r="Q13" i="34"/>
  <c r="Q11" i="34"/>
  <c r="Q61" i="34"/>
  <c r="Q53" i="34"/>
  <c r="Q59" i="34"/>
  <c r="Q51" i="34"/>
  <c r="Q32" i="34"/>
  <c r="Q28" i="34"/>
  <c r="Q24" i="34"/>
  <c r="Q20" i="34"/>
  <c r="Q16" i="34"/>
  <c r="Q12" i="34"/>
  <c r="Q62" i="34"/>
  <c r="Q54" i="34"/>
  <c r="Q46" i="34"/>
  <c r="Q44" i="34"/>
  <c r="Q42" i="34"/>
  <c r="Q40" i="34"/>
  <c r="Q38" i="34"/>
  <c r="Q36" i="34"/>
  <c r="Q34" i="34"/>
  <c r="Q10" i="34"/>
  <c r="Q14" i="34"/>
  <c r="Q64" i="34"/>
  <c r="Q56" i="34"/>
  <c r="Q48" i="34"/>
  <c r="Q26" i="34"/>
  <c r="Q18" i="34"/>
  <c r="Q30" i="34"/>
  <c r="Q22" i="34"/>
  <c r="Q62" i="33"/>
  <c r="Q59" i="33"/>
  <c r="Q65" i="33"/>
  <c r="Q60" i="33"/>
  <c r="Q57" i="33"/>
  <c r="Q52" i="33"/>
  <c r="Q49" i="33"/>
  <c r="Q58" i="33"/>
  <c r="Q55" i="33"/>
  <c r="Q46" i="33"/>
  <c r="Q41" i="33"/>
  <c r="Q38" i="33"/>
  <c r="Q33" i="33"/>
  <c r="Q30" i="33"/>
  <c r="Q64" i="33"/>
  <c r="Q61" i="33"/>
  <c r="Q50" i="33"/>
  <c r="Q48" i="33"/>
  <c r="Q47" i="33"/>
  <c r="Q44" i="33"/>
  <c r="Q39" i="33"/>
  <c r="Q36" i="33"/>
  <c r="Q31" i="33"/>
  <c r="Q28" i="33"/>
  <c r="Q23" i="33"/>
  <c r="Q20" i="33"/>
  <c r="Q66" i="33"/>
  <c r="Q63" i="33"/>
  <c r="Q56" i="33"/>
  <c r="Q42" i="33"/>
  <c r="Q34" i="33"/>
  <c r="Q26" i="33"/>
  <c r="Q14" i="33"/>
  <c r="Q10" i="33"/>
  <c r="Q12" i="33"/>
  <c r="Q40" i="33"/>
  <c r="Q16" i="33"/>
  <c r="Q54" i="33"/>
  <c r="Q15" i="33"/>
  <c r="Q11" i="33"/>
  <c r="Q53" i="33"/>
  <c r="Q45" i="33"/>
  <c r="Q43" i="33"/>
  <c r="Q37" i="33"/>
  <c r="Q35" i="33"/>
  <c r="Q29" i="33"/>
  <c r="Q27" i="33"/>
  <c r="Q21" i="33"/>
  <c r="Q19" i="33"/>
  <c r="Q51" i="33"/>
  <c r="Q32" i="33"/>
  <c r="Q25" i="33"/>
  <c r="Q24" i="33"/>
  <c r="Q22" i="33"/>
  <c r="Q18" i="33"/>
  <c r="Q17" i="33"/>
  <c r="Q13" i="33"/>
  <c r="C66" i="33"/>
  <c r="C64" i="33"/>
  <c r="C62" i="33"/>
  <c r="C60" i="33"/>
  <c r="C52" i="33"/>
  <c r="C50" i="33"/>
  <c r="C48" i="33"/>
  <c r="C61" i="33"/>
  <c r="C59" i="33"/>
  <c r="C43" i="33"/>
  <c r="C41" i="33"/>
  <c r="C39" i="33"/>
  <c r="C37" i="33"/>
  <c r="C35" i="33"/>
  <c r="C27" i="33"/>
  <c r="C25" i="33"/>
  <c r="C23" i="33"/>
  <c r="C21" i="33"/>
  <c r="C19" i="33"/>
  <c r="C32" i="33"/>
  <c r="C63" i="33"/>
  <c r="C49" i="33"/>
  <c r="C46" i="33"/>
  <c r="C38" i="33"/>
  <c r="C14" i="33"/>
  <c r="C12" i="33"/>
  <c r="C10" i="33"/>
  <c r="C65" i="33"/>
  <c r="C55" i="33"/>
  <c r="C44" i="33"/>
  <c r="C42" i="33"/>
  <c r="C36" i="33"/>
  <c r="C26" i="33"/>
  <c r="C24" i="33"/>
  <c r="C34" i="33"/>
  <c r="C28" i="33"/>
  <c r="W65" i="33"/>
  <c r="W63" i="33"/>
  <c r="W61" i="33"/>
  <c r="W59" i="33"/>
  <c r="W57" i="33"/>
  <c r="W55" i="33"/>
  <c r="W53" i="33"/>
  <c r="W51" i="33"/>
  <c r="W49" i="33"/>
  <c r="W47" i="33"/>
  <c r="W66" i="33"/>
  <c r="W58" i="33"/>
  <c r="W64" i="33"/>
  <c r="W56" i="33"/>
  <c r="W48" i="33"/>
  <c r="W46" i="33"/>
  <c r="W44" i="33"/>
  <c r="W42" i="33"/>
  <c r="W40" i="33"/>
  <c r="W38" i="33"/>
  <c r="W36" i="33"/>
  <c r="W34" i="33"/>
  <c r="W32" i="33"/>
  <c r="W30" i="33"/>
  <c r="W28" i="33"/>
  <c r="W26" i="33"/>
  <c r="W24" i="33"/>
  <c r="W22" i="33"/>
  <c r="W20" i="33"/>
  <c r="W18" i="33"/>
  <c r="W16" i="33"/>
  <c r="W54" i="33"/>
  <c r="W52" i="33"/>
  <c r="W50" i="33"/>
  <c r="W45" i="33"/>
  <c r="W37" i="33"/>
  <c r="W29" i="33"/>
  <c r="W60" i="33"/>
  <c r="W43" i="33"/>
  <c r="W35" i="33"/>
  <c r="W27" i="33"/>
  <c r="W19" i="33"/>
  <c r="W15" i="33"/>
  <c r="W13" i="33"/>
  <c r="W10" i="33"/>
  <c r="W11" i="33"/>
  <c r="W12" i="33"/>
  <c r="W14" i="33"/>
  <c r="W17" i="33"/>
  <c r="W21" i="33"/>
  <c r="W23" i="33"/>
  <c r="W25" i="33"/>
  <c r="W31" i="33"/>
  <c r="W33" i="33"/>
  <c r="W39" i="33"/>
  <c r="W41" i="33"/>
  <c r="W62" i="33"/>
  <c r="M67" i="33"/>
  <c r="M75" i="33"/>
  <c r="Q65" i="32"/>
  <c r="Q60" i="32"/>
  <c r="Q57" i="32"/>
  <c r="Q52" i="32"/>
  <c r="Q49" i="32"/>
  <c r="Q46" i="32"/>
  <c r="Q41" i="32"/>
  <c r="Q38" i="32"/>
  <c r="Q33" i="32"/>
  <c r="Q30" i="32"/>
  <c r="Q64" i="32"/>
  <c r="Q50" i="32"/>
  <c r="Q48" i="32"/>
  <c r="Q47" i="32"/>
  <c r="Q44" i="32"/>
  <c r="Q39" i="32"/>
  <c r="Q36" i="32"/>
  <c r="Q31" i="32"/>
  <c r="Q28" i="32"/>
  <c r="Q23" i="32"/>
  <c r="Q20" i="32"/>
  <c r="Q66" i="32"/>
  <c r="Q58" i="32"/>
  <c r="Q56" i="32"/>
  <c r="Q55" i="32"/>
  <c r="Q54" i="32"/>
  <c r="Q27" i="32"/>
  <c r="Q21" i="32"/>
  <c r="Q19" i="32"/>
  <c r="Q12" i="32"/>
  <c r="Q15" i="32"/>
  <c r="Q11" i="32"/>
  <c r="Q63" i="32"/>
  <c r="Q62" i="32"/>
  <c r="Q61" i="32"/>
  <c r="Q59" i="32"/>
  <c r="Q53" i="32"/>
  <c r="Q45" i="32"/>
  <c r="Q43" i="32"/>
  <c r="Q37" i="32"/>
  <c r="Q35" i="32"/>
  <c r="Q29" i="32"/>
  <c r="Q26" i="32"/>
  <c r="Q25" i="32"/>
  <c r="Q24" i="32"/>
  <c r="Q22" i="32"/>
  <c r="Q18" i="32"/>
  <c r="Q17" i="32"/>
  <c r="Q16" i="32"/>
  <c r="Q13" i="32"/>
  <c r="Q10" i="32"/>
  <c r="Q14" i="32"/>
  <c r="Q32" i="32"/>
  <c r="Q34" i="32"/>
  <c r="Q40" i="32"/>
  <c r="Q42" i="32"/>
  <c r="Q51" i="32"/>
  <c r="Q80" i="32"/>
  <c r="W65" i="32"/>
  <c r="W63" i="32"/>
  <c r="W61" i="32"/>
  <c r="W59" i="32"/>
  <c r="W57" i="32"/>
  <c r="W55" i="32"/>
  <c r="W53" i="32"/>
  <c r="W51" i="32"/>
  <c r="W49" i="32"/>
  <c r="W47" i="32"/>
  <c r="W66" i="32"/>
  <c r="W64" i="32"/>
  <c r="W56" i="32"/>
  <c r="W48" i="32"/>
  <c r="W46" i="32"/>
  <c r="W44" i="32"/>
  <c r="W42" i="32"/>
  <c r="W40" i="32"/>
  <c r="W38" i="32"/>
  <c r="W36" i="32"/>
  <c r="W34" i="32"/>
  <c r="W32" i="32"/>
  <c r="W30" i="32"/>
  <c r="W28" i="32"/>
  <c r="W26" i="32"/>
  <c r="W24" i="32"/>
  <c r="W22" i="32"/>
  <c r="W20" i="32"/>
  <c r="W18" i="32"/>
  <c r="W16" i="32"/>
  <c r="W54" i="32"/>
  <c r="W52" i="32"/>
  <c r="W50" i="32"/>
  <c r="W45" i="32"/>
  <c r="W37" i="32"/>
  <c r="W29" i="32"/>
  <c r="W62" i="32"/>
  <c r="W60" i="32"/>
  <c r="W58" i="32"/>
  <c r="W43" i="32"/>
  <c r="W35" i="32"/>
  <c r="W27" i="32"/>
  <c r="W19" i="32"/>
  <c r="W15" i="32"/>
  <c r="W13" i="32"/>
  <c r="W11" i="32"/>
  <c r="W41" i="32"/>
  <c r="W33" i="32"/>
  <c r="W25" i="32"/>
  <c r="W23" i="32"/>
  <c r="W21" i="32"/>
  <c r="W17" i="32"/>
  <c r="W14" i="32"/>
  <c r="W10" i="32"/>
  <c r="W12" i="32"/>
  <c r="W39" i="32"/>
  <c r="W31" i="32"/>
  <c r="C59" i="31"/>
  <c r="C57" i="31"/>
  <c r="C55" i="31"/>
  <c r="C53" i="31"/>
  <c r="C51" i="31"/>
  <c r="C54" i="31"/>
  <c r="C45" i="31"/>
  <c r="C43" i="31"/>
  <c r="C41" i="31"/>
  <c r="C42" i="31"/>
  <c r="C34" i="31"/>
  <c r="C31" i="31"/>
  <c r="C26" i="31"/>
  <c r="C23" i="31"/>
  <c r="C18" i="31"/>
  <c r="C50" i="31"/>
  <c r="C48" i="31"/>
  <c r="C40" i="31"/>
  <c r="C37" i="31"/>
  <c r="C36" i="31"/>
  <c r="C29" i="31"/>
  <c r="C28" i="31"/>
  <c r="C27" i="31"/>
  <c r="C24" i="31"/>
  <c r="C22" i="31"/>
  <c r="C16" i="31"/>
  <c r="C14" i="31"/>
  <c r="C13" i="31"/>
  <c r="C12" i="31"/>
  <c r="C11" i="31"/>
  <c r="C25" i="31"/>
  <c r="C58" i="31"/>
  <c r="C60" i="31"/>
  <c r="C46" i="31"/>
  <c r="C38" i="31"/>
  <c r="S65" i="31"/>
  <c r="S63" i="31"/>
  <c r="S61" i="31"/>
  <c r="S59" i="31"/>
  <c r="S57" i="31"/>
  <c r="S55" i="31"/>
  <c r="S53" i="31"/>
  <c r="S51" i="31"/>
  <c r="S49" i="31"/>
  <c r="S47" i="31"/>
  <c r="S66" i="31"/>
  <c r="S58" i="31"/>
  <c r="S50" i="31"/>
  <c r="S45" i="31"/>
  <c r="S43" i="31"/>
  <c r="S41" i="31"/>
  <c r="S48" i="31"/>
  <c r="S46" i="31"/>
  <c r="S64" i="31"/>
  <c r="S62" i="31"/>
  <c r="S60" i="31"/>
  <c r="S38" i="31"/>
  <c r="S35" i="31"/>
  <c r="S30" i="31"/>
  <c r="S27" i="31"/>
  <c r="S22" i="31"/>
  <c r="S19" i="31"/>
  <c r="S14" i="31"/>
  <c r="S11" i="31"/>
  <c r="S44" i="31"/>
  <c r="S42" i="31"/>
  <c r="S40" i="31"/>
  <c r="S36" i="31"/>
  <c r="S56" i="31"/>
  <c r="S34" i="31"/>
  <c r="S33" i="31"/>
  <c r="S32" i="31"/>
  <c r="S31" i="31"/>
  <c r="S29" i="31"/>
  <c r="S26" i="31"/>
  <c r="S25" i="31"/>
  <c r="S24" i="31"/>
  <c r="S23" i="31"/>
  <c r="S21" i="31"/>
  <c r="S18" i="31"/>
  <c r="S17" i="31"/>
  <c r="S16" i="31"/>
  <c r="S15" i="31"/>
  <c r="S13" i="31"/>
  <c r="S10" i="31"/>
  <c r="S12" i="31"/>
  <c r="S20" i="31"/>
  <c r="S28" i="31"/>
  <c r="S37" i="31"/>
  <c r="S39" i="31"/>
  <c r="S52" i="31"/>
  <c r="S54" i="31"/>
  <c r="U64" i="31"/>
  <c r="U61" i="31"/>
  <c r="U56" i="31"/>
  <c r="U53" i="31"/>
  <c r="U48" i="31"/>
  <c r="U54" i="31"/>
  <c r="U52" i="31"/>
  <c r="U51" i="31"/>
  <c r="U50" i="31"/>
  <c r="U49" i="31"/>
  <c r="U47" i="31"/>
  <c r="U44" i="31"/>
  <c r="U41" i="31"/>
  <c r="U38" i="31"/>
  <c r="U36" i="31"/>
  <c r="U34" i="31"/>
  <c r="U32" i="31"/>
  <c r="U30" i="31"/>
  <c r="U28" i="31"/>
  <c r="U26" i="31"/>
  <c r="U24" i="31"/>
  <c r="U22" i="31"/>
  <c r="U20" i="31"/>
  <c r="U18" i="31"/>
  <c r="U16" i="31"/>
  <c r="U14" i="31"/>
  <c r="U12" i="31"/>
  <c r="U10" i="31"/>
  <c r="U66" i="31"/>
  <c r="U59" i="31"/>
  <c r="U57" i="31"/>
  <c r="U55" i="31"/>
  <c r="U42" i="31"/>
  <c r="U40" i="31"/>
  <c r="U33" i="31"/>
  <c r="U25" i="31"/>
  <c r="U17" i="31"/>
  <c r="U65" i="31"/>
  <c r="U63" i="31"/>
  <c r="U46" i="31"/>
  <c r="U45" i="31"/>
  <c r="U43" i="31"/>
  <c r="U39" i="31"/>
  <c r="U62" i="31"/>
  <c r="U60" i="31"/>
  <c r="U58" i="31"/>
  <c r="U37" i="31"/>
  <c r="U35" i="31"/>
  <c r="U31" i="31"/>
  <c r="U29" i="31"/>
  <c r="U27" i="31"/>
  <c r="U23" i="31"/>
  <c r="U21" i="31"/>
  <c r="U19" i="31"/>
  <c r="U15" i="31"/>
  <c r="U13" i="31"/>
  <c r="U11" i="31"/>
  <c r="B70" i="20"/>
  <c r="C70" i="20"/>
  <c r="E70" i="20"/>
  <c r="F70" i="20"/>
  <c r="G70" i="20"/>
  <c r="H70" i="20"/>
  <c r="I70" i="20"/>
  <c r="J70" i="20"/>
  <c r="K70" i="20"/>
  <c r="M70" i="20"/>
  <c r="O70" i="20"/>
  <c r="P70" i="20"/>
  <c r="Q70" i="20"/>
  <c r="AA71" i="8"/>
  <c r="AB71" i="8"/>
  <c r="E76" i="20"/>
  <c r="E77" i="20"/>
  <c r="E78" i="20"/>
  <c r="S74" i="20"/>
  <c r="S76" i="20"/>
  <c r="C66" i="34"/>
  <c r="C64" i="34"/>
  <c r="C62" i="34"/>
  <c r="C60" i="34"/>
  <c r="C58" i="34"/>
  <c r="C50" i="34"/>
  <c r="C48" i="34"/>
  <c r="C59" i="34"/>
  <c r="C45" i="34"/>
  <c r="C43" i="34"/>
  <c r="C41" i="34"/>
  <c r="C39" i="34"/>
  <c r="C49" i="34"/>
  <c r="C61" i="34"/>
  <c r="C53" i="34"/>
  <c r="C34" i="34"/>
  <c r="C30" i="34"/>
  <c r="C14" i="34"/>
  <c r="C10" i="34"/>
  <c r="C46" i="34"/>
  <c r="C44" i="34"/>
  <c r="C42" i="34"/>
  <c r="C31" i="34"/>
  <c r="C27" i="34"/>
  <c r="C23" i="34"/>
  <c r="C19" i="34"/>
  <c r="C15" i="34"/>
  <c r="C28" i="34"/>
  <c r="C33" i="34"/>
  <c r="C24" i="34"/>
  <c r="C13" i="34"/>
  <c r="C17" i="34"/>
  <c r="C63" i="34"/>
  <c r="C55" i="34"/>
  <c r="C29" i="34"/>
  <c r="C25" i="34"/>
  <c r="C20" i="34"/>
  <c r="Q80" i="33"/>
  <c r="M54" i="33"/>
  <c r="M66" i="33"/>
  <c r="M61" i="33"/>
  <c r="M58" i="33"/>
  <c r="M62" i="33"/>
  <c r="M40" i="33"/>
  <c r="M55" i="33"/>
  <c r="M46" i="33"/>
  <c r="M43" i="33"/>
  <c r="M50" i="33"/>
  <c r="M49" i="33"/>
  <c r="M25" i="33"/>
  <c r="M24" i="33"/>
  <c r="M17" i="33"/>
  <c r="M10" i="33"/>
  <c r="M47" i="33"/>
  <c r="M44" i="33"/>
  <c r="M42" i="33"/>
  <c r="M39" i="33"/>
  <c r="M41" i="33"/>
  <c r="M33" i="33"/>
  <c r="M15" i="33"/>
  <c r="E46" i="31"/>
  <c r="E25" i="31"/>
  <c r="E24" i="31"/>
  <c r="H70" i="24"/>
  <c r="H73" i="24"/>
  <c r="H78" i="24"/>
  <c r="G70" i="24"/>
  <c r="F70" i="24"/>
  <c r="F73" i="24"/>
  <c r="E70" i="24"/>
  <c r="E73" i="24"/>
  <c r="E78" i="24"/>
  <c r="E79" i="24"/>
  <c r="E81" i="24"/>
  <c r="E83" i="24"/>
  <c r="D70" i="24"/>
  <c r="D73" i="24"/>
  <c r="D78" i="24"/>
  <c r="C70" i="24"/>
  <c r="B70" i="24"/>
  <c r="B78" i="24"/>
  <c r="G73" i="24"/>
  <c r="G78" i="24"/>
  <c r="G79" i="24"/>
  <c r="G81" i="24"/>
  <c r="G83" i="24"/>
  <c r="C73" i="24"/>
  <c r="C78" i="24"/>
  <c r="C79" i="24"/>
  <c r="C81" i="24"/>
  <c r="C83" i="24"/>
  <c r="S73" i="20"/>
  <c r="S72" i="20"/>
  <c r="S71" i="20"/>
  <c r="S67" i="20"/>
  <c r="S65" i="20"/>
  <c r="S64" i="20"/>
  <c r="S63" i="20"/>
  <c r="S58" i="20"/>
  <c r="S57" i="20"/>
  <c r="S56" i="20"/>
  <c r="S55" i="20"/>
  <c r="S50" i="20"/>
  <c r="S49" i="20"/>
  <c r="S48" i="20"/>
  <c r="S47" i="20"/>
  <c r="S42" i="20"/>
  <c r="S41" i="20"/>
  <c r="S40" i="20"/>
  <c r="S39" i="20"/>
  <c r="S34" i="20"/>
  <c r="S33" i="20"/>
  <c r="S32" i="20"/>
  <c r="S31" i="20"/>
  <c r="S26" i="20"/>
  <c r="S25" i="20"/>
  <c r="S24" i="20"/>
  <c r="S23" i="20"/>
  <c r="S18" i="20"/>
  <c r="S17" i="20"/>
  <c r="S16" i="20"/>
  <c r="S15" i="20"/>
  <c r="S10" i="20"/>
  <c r="H79" i="24"/>
  <c r="H81" i="24"/>
  <c r="H83" i="24"/>
  <c r="F79" i="24"/>
  <c r="D79" i="24"/>
  <c r="D81" i="24"/>
  <c r="D83" i="24"/>
  <c r="B79" i="24"/>
  <c r="S66" i="20"/>
  <c r="S68" i="20"/>
  <c r="S69" i="20"/>
  <c r="E75" i="8"/>
  <c r="Q75" i="8"/>
  <c r="S75" i="8"/>
  <c r="R70" i="20"/>
  <c r="T2" i="6"/>
  <c r="E85" i="24"/>
  <c r="D85" i="24"/>
  <c r="H85" i="24"/>
  <c r="N35" i="6"/>
  <c r="N37" i="6"/>
  <c r="C27" i="6"/>
  <c r="U3" i="6"/>
  <c r="V3" i="6"/>
  <c r="R3" i="6"/>
  <c r="S3" i="6"/>
  <c r="O3" i="6"/>
  <c r="O4" i="6"/>
  <c r="N4" i="6"/>
  <c r="P4" i="6"/>
  <c r="P3" i="6"/>
  <c r="O9" i="6"/>
  <c r="P9" i="6"/>
  <c r="O11" i="6"/>
  <c r="N14" i="6"/>
  <c r="P11" i="6"/>
  <c r="P19" i="6"/>
  <c r="O34" i="6"/>
  <c r="P34" i="6"/>
  <c r="P2" i="6"/>
  <c r="L3" i="6"/>
  <c r="L4" i="6"/>
  <c r="I3" i="6"/>
  <c r="J3" i="6"/>
  <c r="F3" i="6"/>
  <c r="G3" i="6"/>
  <c r="B23" i="6"/>
  <c r="B20" i="6"/>
  <c r="B21" i="6"/>
  <c r="R34" i="6"/>
  <c r="S34" i="6"/>
  <c r="S19" i="6"/>
  <c r="S15" i="6"/>
  <c r="R11" i="6"/>
  <c r="R13" i="6"/>
  <c r="R9" i="6"/>
  <c r="S9" i="6"/>
  <c r="S5" i="6"/>
  <c r="R4" i="6"/>
  <c r="Q4" i="6"/>
  <c r="S4" i="6"/>
  <c r="P15" i="6"/>
  <c r="O13" i="6"/>
  <c r="N17" i="6"/>
  <c r="N13" i="6"/>
  <c r="P13" i="6"/>
  <c r="N20" i="6"/>
  <c r="N22" i="6"/>
  <c r="P18" i="6"/>
  <c r="P5" i="6"/>
  <c r="L34" i="6"/>
  <c r="L37" i="6"/>
  <c r="M19" i="6"/>
  <c r="M15" i="6"/>
  <c r="L11" i="6"/>
  <c r="L9" i="6"/>
  <c r="M9" i="6"/>
  <c r="M5" i="6"/>
  <c r="I34" i="6"/>
  <c r="I37" i="6"/>
  <c r="J34" i="6"/>
  <c r="J19" i="6"/>
  <c r="J15" i="6"/>
  <c r="I11" i="6"/>
  <c r="I13" i="6"/>
  <c r="I9" i="6"/>
  <c r="J9" i="6"/>
  <c r="J5" i="6"/>
  <c r="I4" i="6"/>
  <c r="F34" i="6"/>
  <c r="G34" i="6"/>
  <c r="G19" i="6"/>
  <c r="G15" i="6"/>
  <c r="F11" i="6"/>
  <c r="F13" i="6"/>
  <c r="F9" i="6"/>
  <c r="G9" i="6"/>
  <c r="F4" i="6"/>
  <c r="O37" i="6"/>
  <c r="M34" i="6"/>
  <c r="U34" i="6"/>
  <c r="U37" i="6"/>
  <c r="V19" i="6"/>
  <c r="V15" i="6"/>
  <c r="U11" i="6"/>
  <c r="U9" i="6"/>
  <c r="V9" i="6"/>
  <c r="V5" i="6"/>
  <c r="U4" i="6"/>
  <c r="U13" i="6"/>
  <c r="V34" i="6"/>
  <c r="T31" i="6"/>
  <c r="U31" i="6"/>
  <c r="V31" i="6"/>
  <c r="Q31" i="6"/>
  <c r="R31" i="6"/>
  <c r="S31" i="6"/>
  <c r="N31" i="6"/>
  <c r="O31" i="6"/>
  <c r="K31" i="6"/>
  <c r="L31" i="6"/>
  <c r="H31" i="6"/>
  <c r="I31" i="6"/>
  <c r="J31" i="6"/>
  <c r="E31" i="6"/>
  <c r="D15" i="6"/>
  <c r="D35" i="6"/>
  <c r="Q2" i="6"/>
  <c r="N2" i="6"/>
  <c r="K2" i="6"/>
  <c r="H2" i="6"/>
  <c r="E2" i="6"/>
  <c r="B37" i="6"/>
  <c r="T35" i="6"/>
  <c r="Q35" i="6"/>
  <c r="K35" i="6"/>
  <c r="M35" i="6"/>
  <c r="H35" i="6"/>
  <c r="J35" i="6"/>
  <c r="E35" i="6"/>
  <c r="T28" i="6"/>
  <c r="U28" i="6"/>
  <c r="Q28" i="6"/>
  <c r="N28" i="6"/>
  <c r="K28" i="6"/>
  <c r="L28" i="6"/>
  <c r="H28" i="6"/>
  <c r="E28" i="6"/>
  <c r="F28" i="6"/>
  <c r="T27" i="6"/>
  <c r="Q27" i="6"/>
  <c r="N27" i="6"/>
  <c r="K27" i="6"/>
  <c r="L27" i="6"/>
  <c r="H27" i="6"/>
  <c r="E27" i="6"/>
  <c r="T23" i="6"/>
  <c r="T20" i="6"/>
  <c r="Q23" i="6"/>
  <c r="Q20" i="6"/>
  <c r="Q22" i="6"/>
  <c r="N23" i="6"/>
  <c r="K23" i="6"/>
  <c r="K20" i="6"/>
  <c r="H23" i="6"/>
  <c r="H20" i="6"/>
  <c r="E23" i="6"/>
  <c r="E20" i="6"/>
  <c r="E21" i="6"/>
  <c r="T14" i="6"/>
  <c r="Q14" i="6"/>
  <c r="K14" i="6"/>
  <c r="H14" i="6"/>
  <c r="H17" i="6"/>
  <c r="H13" i="6"/>
  <c r="J13" i="6"/>
  <c r="E14" i="6"/>
  <c r="B14" i="6"/>
  <c r="C11" i="6"/>
  <c r="D11" i="6"/>
  <c r="E17" i="6"/>
  <c r="G17" i="6"/>
  <c r="K17" i="6"/>
  <c r="P17" i="6"/>
  <c r="Q17" i="6"/>
  <c r="S17" i="6"/>
  <c r="T17" i="6"/>
  <c r="T4" i="6"/>
  <c r="V4" i="6"/>
  <c r="K4" i="6"/>
  <c r="M4" i="6"/>
  <c r="H4" i="6"/>
  <c r="J4" i="6"/>
  <c r="E4" i="6"/>
  <c r="M31" i="6"/>
  <c r="F31" i="6"/>
  <c r="E32" i="6"/>
  <c r="M17" i="6"/>
  <c r="S11" i="6"/>
  <c r="N21" i="6"/>
  <c r="Q32" i="6"/>
  <c r="J17" i="6"/>
  <c r="V11" i="6"/>
  <c r="O27" i="6"/>
  <c r="I28" i="6"/>
  <c r="P37" i="6"/>
  <c r="P35" i="6"/>
  <c r="H32" i="6"/>
  <c r="J32" i="6"/>
  <c r="T32" i="6"/>
  <c r="V32" i="6"/>
  <c r="Q21" i="6"/>
  <c r="F27" i="6"/>
  <c r="R27" i="6"/>
  <c r="M28" i="6"/>
  <c r="E37" i="6"/>
  <c r="G35" i="6"/>
  <c r="K32" i="6"/>
  <c r="M32" i="6"/>
  <c r="G4" i="6"/>
  <c r="I27" i="6"/>
  <c r="J27" i="6"/>
  <c r="N32" i="6"/>
  <c r="P32" i="6"/>
  <c r="K37" i="6"/>
  <c r="M37" i="6"/>
  <c r="H37" i="6"/>
  <c r="K22" i="6"/>
  <c r="K21" i="6"/>
  <c r="M38" i="6"/>
  <c r="E22" i="6"/>
  <c r="K13" i="6"/>
  <c r="S32" i="6"/>
  <c r="G31" i="6"/>
  <c r="G32" i="6"/>
  <c r="P38" i="6"/>
  <c r="J28" i="6"/>
  <c r="P27" i="6"/>
  <c r="M27" i="6"/>
  <c r="S27" i="6"/>
  <c r="C31" i="6"/>
  <c r="D31" i="6"/>
  <c r="D32" i="6"/>
  <c r="C28" i="6"/>
  <c r="D5" i="6"/>
  <c r="D4" i="6"/>
  <c r="C9" i="6"/>
  <c r="D9" i="6"/>
  <c r="D27" i="6"/>
  <c r="D28" i="6"/>
  <c r="D19" i="6"/>
  <c r="B29" i="6"/>
  <c r="B26" i="6"/>
  <c r="B3" i="6"/>
  <c r="B17" i="6"/>
  <c r="C13" i="6"/>
  <c r="B13" i="6"/>
  <c r="D17" i="6"/>
  <c r="C34" i="6"/>
  <c r="AB69" i="8"/>
  <c r="G85" i="24"/>
  <c r="F85" i="24"/>
  <c r="C75" i="8"/>
  <c r="U27" i="6"/>
  <c r="V27" i="6"/>
  <c r="G11" i="6"/>
  <c r="G2" i="6"/>
  <c r="E13" i="6"/>
  <c r="G13" i="6"/>
  <c r="G18" i="6"/>
  <c r="J11" i="6"/>
  <c r="J2" i="6"/>
  <c r="R28" i="6"/>
  <c r="S28" i="6"/>
  <c r="T37" i="6"/>
  <c r="V37" i="6"/>
  <c r="V35" i="6"/>
  <c r="Y75" i="34"/>
  <c r="AA70" i="34"/>
  <c r="AA75" i="34"/>
  <c r="Y68" i="34"/>
  <c r="AA68" i="34"/>
  <c r="Y67" i="34"/>
  <c r="Y31" i="34"/>
  <c r="AA31" i="34"/>
  <c r="T13" i="6"/>
  <c r="V13" i="6"/>
  <c r="T22" i="6"/>
  <c r="V18" i="6"/>
  <c r="V17" i="6"/>
  <c r="E28" i="31"/>
  <c r="E37" i="31"/>
  <c r="E17" i="31"/>
  <c r="E65" i="31"/>
  <c r="E26" i="31"/>
  <c r="E29" i="31"/>
  <c r="E15" i="31"/>
  <c r="E52" i="31"/>
  <c r="E20" i="31"/>
  <c r="E58" i="31"/>
  <c r="E39" i="31"/>
  <c r="E60" i="31"/>
  <c r="E34" i="31"/>
  <c r="E43" i="31"/>
  <c r="E54" i="31"/>
  <c r="E27" i="31"/>
  <c r="E14" i="31"/>
  <c r="E42" i="31"/>
  <c r="E10" i="31"/>
  <c r="E16" i="31"/>
  <c r="E18" i="31"/>
  <c r="E33" i="31"/>
  <c r="E64" i="31"/>
  <c r="E22" i="31"/>
  <c r="E61" i="31"/>
  <c r="E41" i="31"/>
  <c r="E12" i="31"/>
  <c r="E31" i="31"/>
  <c r="E23" i="31"/>
  <c r="E30" i="31"/>
  <c r="E55" i="31"/>
  <c r="E62" i="31"/>
  <c r="E48" i="31"/>
  <c r="E51" i="31"/>
  <c r="E59" i="31"/>
  <c r="E40" i="31"/>
  <c r="E44" i="31"/>
  <c r="E35" i="31"/>
  <c r="E49" i="31"/>
  <c r="E63" i="31"/>
  <c r="E53" i="31"/>
  <c r="E50" i="31"/>
  <c r="E21" i="31"/>
  <c r="E56" i="31"/>
  <c r="E57" i="31"/>
  <c r="E19" i="31"/>
  <c r="E66" i="31"/>
  <c r="E11" i="31"/>
  <c r="E36" i="31"/>
  <c r="E13" i="31"/>
  <c r="E32" i="31"/>
  <c r="E47" i="31"/>
  <c r="U80" i="31"/>
  <c r="B22" i="6"/>
  <c r="D18" i="6"/>
  <c r="F37" i="6"/>
  <c r="G37" i="6"/>
  <c r="G38" i="6"/>
  <c r="B81" i="24"/>
  <c r="F78" i="24"/>
  <c r="F81" i="24"/>
  <c r="F83" i="24"/>
  <c r="E38" i="31"/>
  <c r="E45" i="31"/>
  <c r="H21" i="6"/>
  <c r="H22" i="6"/>
  <c r="M11" i="6"/>
  <c r="L13" i="6"/>
  <c r="K51" i="32"/>
  <c r="K60" i="32"/>
  <c r="K53" i="32"/>
  <c r="K33" i="32"/>
  <c r="K17" i="32"/>
  <c r="K40" i="32"/>
  <c r="K11" i="32"/>
  <c r="K13" i="32"/>
  <c r="K58" i="32"/>
  <c r="K47" i="32"/>
  <c r="K31" i="32"/>
  <c r="K59" i="32"/>
  <c r="K32" i="32"/>
  <c r="K36" i="32"/>
  <c r="K56" i="32"/>
  <c r="K45" i="32"/>
  <c r="K29" i="32"/>
  <c r="K57" i="32"/>
  <c r="K24" i="32"/>
  <c r="K38" i="32"/>
  <c r="K20" i="32"/>
  <c r="K48" i="32"/>
  <c r="K25" i="32"/>
  <c r="K63" i="32"/>
  <c r="K18" i="32"/>
  <c r="K61" i="32"/>
  <c r="K23" i="32"/>
  <c r="K16" i="32"/>
  <c r="K30" i="32"/>
  <c r="K22" i="32"/>
  <c r="K66" i="32"/>
  <c r="K43" i="32"/>
  <c r="K21" i="32"/>
  <c r="K14" i="32"/>
  <c r="K28" i="32"/>
  <c r="K64" i="32"/>
  <c r="K35" i="32"/>
  <c r="K10" i="32"/>
  <c r="K12" i="32"/>
  <c r="K15" i="32"/>
  <c r="K19" i="32"/>
  <c r="K26" i="32"/>
  <c r="K27" i="32"/>
  <c r="K34" i="32"/>
  <c r="K37" i="32"/>
  <c r="K39" i="32"/>
  <c r="K41" i="32"/>
  <c r="K42" i="32"/>
  <c r="K44" i="32"/>
  <c r="K46" i="32"/>
  <c r="K49" i="32"/>
  <c r="K50" i="32"/>
  <c r="K52" i="32"/>
  <c r="K54" i="32"/>
  <c r="K55" i="32"/>
  <c r="K62" i="32"/>
  <c r="K65" i="32"/>
  <c r="K80" i="32"/>
  <c r="T21" i="6"/>
  <c r="E12" i="33"/>
  <c r="E57" i="33"/>
  <c r="E35" i="33"/>
  <c r="E48" i="33"/>
  <c r="E17" i="33"/>
  <c r="E23" i="33"/>
  <c r="E54" i="33"/>
  <c r="E30" i="33"/>
  <c r="E44" i="33"/>
  <c r="E24" i="33"/>
  <c r="E10" i="33"/>
  <c r="E49" i="33"/>
  <c r="E27" i="33"/>
  <c r="E41" i="33"/>
  <c r="E26" i="33"/>
  <c r="E11" i="33"/>
  <c r="E59" i="33"/>
  <c r="E38" i="33"/>
  <c r="E28" i="33"/>
  <c r="E42" i="33"/>
  <c r="E29" i="33"/>
  <c r="E55" i="33"/>
  <c r="E56" i="33"/>
  <c r="E66" i="33"/>
  <c r="E25" i="33"/>
  <c r="E47" i="33"/>
  <c r="E14" i="33"/>
  <c r="E32" i="33"/>
  <c r="E65" i="33"/>
  <c r="E53" i="33"/>
  <c r="E20" i="33"/>
  <c r="E18" i="33"/>
  <c r="E15" i="33"/>
  <c r="E37" i="33"/>
  <c r="E58" i="33"/>
  <c r="E16" i="33"/>
  <c r="E51" i="33"/>
  <c r="E45" i="33"/>
  <c r="E64" i="33"/>
  <c r="E50" i="33"/>
  <c r="E19" i="33"/>
  <c r="E13" i="33"/>
  <c r="E62" i="33"/>
  <c r="E36" i="33"/>
  <c r="E21" i="33"/>
  <c r="E22" i="33"/>
  <c r="E63" i="33"/>
  <c r="E60" i="33"/>
  <c r="E46" i="33"/>
  <c r="E31" i="33"/>
  <c r="E33" i="33"/>
  <c r="E43" i="33"/>
  <c r="E52" i="33"/>
  <c r="E40" i="33"/>
  <c r="E61" i="33"/>
  <c r="E34" i="33"/>
  <c r="J18" i="6"/>
  <c r="M13" i="6"/>
  <c r="M18" i="6"/>
  <c r="Q37" i="6"/>
  <c r="S35" i="6"/>
  <c r="G67" i="34"/>
  <c r="G75" i="34"/>
  <c r="V28" i="6"/>
  <c r="S70" i="20"/>
  <c r="B85" i="24"/>
  <c r="K68" i="31"/>
  <c r="K67" i="31"/>
  <c r="K75" i="31"/>
  <c r="F68" i="34"/>
  <c r="D34" i="6"/>
  <c r="C37" i="6"/>
  <c r="D37" i="6"/>
  <c r="D38" i="6"/>
  <c r="J37" i="6"/>
  <c r="J38" i="6"/>
  <c r="G27" i="6"/>
  <c r="S80" i="31"/>
  <c r="Q13" i="6"/>
  <c r="S13" i="6"/>
  <c r="S18" i="6"/>
  <c r="M67" i="34"/>
  <c r="M75" i="34"/>
  <c r="AA70" i="33"/>
  <c r="AA75" i="33"/>
  <c r="Y68" i="33"/>
  <c r="Y75" i="33"/>
  <c r="G28" i="6"/>
  <c r="I10" i="34"/>
  <c r="I50" i="34"/>
  <c r="I43" i="34"/>
  <c r="I27" i="34"/>
  <c r="I11" i="34"/>
  <c r="I32" i="34"/>
  <c r="I52" i="34"/>
  <c r="I49" i="34"/>
  <c r="I64" i="34"/>
  <c r="I41" i="34"/>
  <c r="I25" i="34"/>
  <c r="I12" i="34"/>
  <c r="I34" i="34"/>
  <c r="I60" i="34"/>
  <c r="I65" i="34"/>
  <c r="I61" i="34"/>
  <c r="I39" i="34"/>
  <c r="I23" i="34"/>
  <c r="I16" i="34"/>
  <c r="I36" i="34"/>
  <c r="I54" i="34"/>
  <c r="I48" i="34"/>
  <c r="I21" i="34"/>
  <c r="I28" i="34"/>
  <c r="I14" i="34"/>
  <c r="I47" i="34"/>
  <c r="I19" i="34"/>
  <c r="I30" i="34"/>
  <c r="I22" i="34"/>
  <c r="I66" i="34"/>
  <c r="I45" i="34"/>
  <c r="I17" i="34"/>
  <c r="I38" i="34"/>
  <c r="I18" i="34"/>
  <c r="I37" i="34"/>
  <c r="I24" i="34"/>
  <c r="I51" i="34"/>
  <c r="I35" i="34"/>
  <c r="I26" i="34"/>
  <c r="I33" i="34"/>
  <c r="I40" i="34"/>
  <c r="I56" i="34"/>
  <c r="I44" i="34"/>
  <c r="I53" i="34"/>
  <c r="I46" i="34"/>
  <c r="I31" i="34"/>
  <c r="I15" i="34"/>
  <c r="I63" i="34"/>
  <c r="I13" i="34"/>
  <c r="I59" i="34"/>
  <c r="I42" i="34"/>
  <c r="I20" i="34"/>
  <c r="I57" i="34"/>
  <c r="I62" i="34"/>
  <c r="I80" i="34"/>
  <c r="O28" i="6"/>
  <c r="P28" i="6"/>
  <c r="P31" i="6"/>
  <c r="R37" i="6"/>
  <c r="M3" i="6"/>
  <c r="M64" i="33"/>
  <c r="M37" i="33"/>
  <c r="M30" i="33"/>
  <c r="M23" i="33"/>
  <c r="M52" i="33"/>
  <c r="M34" i="33"/>
  <c r="M14" i="33"/>
  <c r="M59" i="33"/>
  <c r="M32" i="33"/>
  <c r="M27" i="33"/>
  <c r="M21" i="33"/>
  <c r="M20" i="33"/>
  <c r="M31" i="33"/>
  <c r="M11" i="33"/>
  <c r="M63" i="33"/>
  <c r="M56" i="33"/>
  <c r="M29" i="33"/>
  <c r="M22" i="33"/>
  <c r="M18" i="33"/>
  <c r="M57" i="33"/>
  <c r="M28" i="33"/>
  <c r="M53" i="33"/>
  <c r="M60" i="33"/>
  <c r="M12" i="33"/>
  <c r="M19" i="33"/>
  <c r="M65" i="33"/>
  <c r="M45" i="33"/>
  <c r="W80" i="32"/>
  <c r="Q80" i="34"/>
  <c r="C58" i="33"/>
  <c r="C51" i="33"/>
  <c r="C33" i="33"/>
  <c r="C17" i="33"/>
  <c r="C30" i="33"/>
  <c r="C53" i="33"/>
  <c r="C18" i="33"/>
  <c r="C56" i="33"/>
  <c r="C47" i="33"/>
  <c r="C31" i="33"/>
  <c r="C57" i="33"/>
  <c r="C22" i="33"/>
  <c r="C13" i="33"/>
  <c r="C20" i="33"/>
  <c r="C54" i="33"/>
  <c r="C45" i="33"/>
  <c r="C29" i="33"/>
  <c r="C40" i="33"/>
  <c r="C16" i="33"/>
  <c r="C11" i="33"/>
  <c r="C15" i="33"/>
  <c r="I22" i="30"/>
  <c r="I18" i="30"/>
  <c r="E68" i="34"/>
  <c r="E67" i="34"/>
  <c r="AB70" i="34"/>
  <c r="AC76" i="34"/>
  <c r="E75" i="34"/>
  <c r="C68" i="32"/>
  <c r="E68" i="32"/>
  <c r="U68" i="32"/>
  <c r="AA70" i="32"/>
  <c r="AA75" i="32"/>
  <c r="Y68" i="32"/>
  <c r="AA68" i="32"/>
  <c r="AB68" i="32"/>
  <c r="E62" i="27"/>
  <c r="C67" i="32"/>
  <c r="C75" i="32"/>
  <c r="F14" i="30"/>
  <c r="G77" i="31"/>
  <c r="F68" i="31"/>
  <c r="I70" i="31"/>
  <c r="M26" i="33"/>
  <c r="M13" i="33"/>
  <c r="M35" i="33"/>
  <c r="M48" i="33"/>
  <c r="C56" i="34"/>
  <c r="C51" i="34"/>
  <c r="C37" i="34"/>
  <c r="C26" i="34"/>
  <c r="C40" i="34"/>
  <c r="C11" i="34"/>
  <c r="C12" i="34"/>
  <c r="C54" i="34"/>
  <c r="C65" i="34"/>
  <c r="C22" i="34"/>
  <c r="C38" i="34"/>
  <c r="C36" i="34"/>
  <c r="C21" i="34"/>
  <c r="C52" i="34"/>
  <c r="C47" i="34"/>
  <c r="C57" i="34"/>
  <c r="C18" i="34"/>
  <c r="C35" i="34"/>
  <c r="C32" i="34"/>
  <c r="C16" i="34"/>
  <c r="C65" i="31"/>
  <c r="C49" i="31"/>
  <c r="C66" i="31"/>
  <c r="C15" i="31"/>
  <c r="C35" i="31"/>
  <c r="C21" i="31"/>
  <c r="C56" i="31"/>
  <c r="C17" i="31"/>
  <c r="C63" i="31"/>
  <c r="C47" i="31"/>
  <c r="C64" i="31"/>
  <c r="C10" i="31"/>
  <c r="C32" i="31"/>
  <c r="C20" i="31"/>
  <c r="C44" i="31"/>
  <c r="C61" i="31"/>
  <c r="C62" i="31"/>
  <c r="C39" i="31"/>
  <c r="C52" i="31"/>
  <c r="C30" i="31"/>
  <c r="C19" i="31"/>
  <c r="C33" i="31"/>
  <c r="W75" i="34"/>
  <c r="W67" i="34"/>
  <c r="Y75" i="32"/>
  <c r="M36" i="33"/>
  <c r="M16" i="33"/>
  <c r="M38" i="33"/>
  <c r="M51" i="33"/>
  <c r="W80" i="33"/>
  <c r="H79" i="32"/>
  <c r="I79" i="32"/>
  <c r="M70" i="32"/>
  <c r="W52" i="31"/>
  <c r="O70" i="33"/>
  <c r="E75" i="32"/>
  <c r="E67" i="32"/>
  <c r="W37" i="31"/>
  <c r="W16" i="31"/>
  <c r="W49" i="31"/>
  <c r="W35" i="31"/>
  <c r="W26" i="31"/>
  <c r="W30" i="31"/>
  <c r="W21" i="31"/>
  <c r="W10" i="31"/>
  <c r="W47" i="31"/>
  <c r="W25" i="31"/>
  <c r="W17" i="31"/>
  <c r="W32" i="31"/>
  <c r="W14" i="31"/>
  <c r="W34" i="31"/>
  <c r="W22" i="31"/>
  <c r="W64" i="31"/>
  <c r="W48" i="31"/>
  <c r="W55" i="31"/>
  <c r="W43" i="31"/>
  <c r="W24" i="31"/>
  <c r="W62" i="31"/>
  <c r="W46" i="31"/>
  <c r="W53" i="31"/>
  <c r="W36" i="31"/>
  <c r="W29" i="31"/>
  <c r="W19" i="31"/>
  <c r="W33" i="31"/>
  <c r="W60" i="31"/>
  <c r="W59" i="31"/>
  <c r="W23" i="31"/>
  <c r="S38" i="33"/>
  <c r="S20" i="33"/>
  <c r="S42" i="33"/>
  <c r="S44" i="33"/>
  <c r="S32" i="33"/>
  <c r="S10" i="33"/>
  <c r="S34" i="33"/>
  <c r="S49" i="33"/>
  <c r="S51" i="33"/>
  <c r="S26" i="33"/>
  <c r="S40" i="33"/>
  <c r="S53" i="33"/>
  <c r="S59" i="33"/>
  <c r="S11" i="33"/>
  <c r="S16" i="33"/>
  <c r="S52" i="33"/>
  <c r="S45" i="33"/>
  <c r="S29" i="33"/>
  <c r="S46" i="33"/>
  <c r="S24" i="33"/>
  <c r="S66" i="33"/>
  <c r="S50" i="33"/>
  <c r="S43" i="33"/>
  <c r="S27" i="33"/>
  <c r="S18" i="33"/>
  <c r="S61" i="33"/>
  <c r="S30" i="33"/>
  <c r="S64" i="33"/>
  <c r="S48" i="33"/>
  <c r="S41" i="33"/>
  <c r="S25" i="33"/>
  <c r="S36" i="33"/>
  <c r="S63" i="33"/>
  <c r="S23" i="33"/>
  <c r="S15" i="33"/>
  <c r="S28" i="33"/>
  <c r="S62" i="33"/>
  <c r="S55" i="33"/>
  <c r="S21" i="33"/>
  <c r="S14" i="33"/>
  <c r="S60" i="33"/>
  <c r="S47" i="33"/>
  <c r="S19" i="33"/>
  <c r="F22" i="30"/>
  <c r="Q18" i="31"/>
  <c r="I67" i="32"/>
  <c r="H14" i="30"/>
  <c r="G77" i="32"/>
  <c r="Q22" i="31"/>
  <c r="Q26" i="31"/>
  <c r="H79" i="31"/>
  <c r="G70" i="31"/>
  <c r="O75" i="34"/>
  <c r="O67" i="34"/>
  <c r="U75" i="32"/>
  <c r="U67" i="32"/>
  <c r="Q34" i="31"/>
  <c r="Q65" i="31"/>
  <c r="Q10" i="31"/>
  <c r="U68" i="34"/>
  <c r="U67" i="34"/>
  <c r="U75" i="34"/>
  <c r="U68" i="8"/>
  <c r="U68" i="33"/>
  <c r="U67" i="33"/>
  <c r="U75" i="33"/>
  <c r="S20" i="8"/>
  <c r="S34" i="32"/>
  <c r="K25" i="34"/>
  <c r="K13" i="34"/>
  <c r="K24" i="34"/>
  <c r="K57" i="34"/>
  <c r="K39" i="34"/>
  <c r="K21" i="34"/>
  <c r="K56" i="34"/>
  <c r="K61" i="34"/>
  <c r="K35" i="34"/>
  <c r="K26" i="34"/>
  <c r="K10" i="34"/>
  <c r="K44" i="34"/>
  <c r="K37" i="34"/>
  <c r="K54" i="34"/>
  <c r="K33" i="34"/>
  <c r="K23" i="34"/>
  <c r="K11" i="34"/>
  <c r="K32" i="34"/>
  <c r="K12" i="34"/>
  <c r="K47" i="34"/>
  <c r="K42" i="34"/>
  <c r="K52" i="34"/>
  <c r="H22" i="30"/>
  <c r="S59" i="32"/>
  <c r="S16" i="32"/>
  <c r="S57" i="32"/>
  <c r="S30" i="32"/>
  <c r="S13" i="32"/>
  <c r="S49" i="32"/>
  <c r="K68" i="33"/>
  <c r="K67" i="33"/>
  <c r="J14" i="30"/>
  <c r="G77" i="33"/>
  <c r="I70" i="33"/>
  <c r="S60" i="8"/>
  <c r="S48" i="8"/>
  <c r="S28" i="8"/>
  <c r="S12" i="8"/>
  <c r="S63" i="8"/>
  <c r="S65" i="8"/>
  <c r="S45" i="8"/>
  <c r="S25" i="8"/>
  <c r="S24" i="8"/>
  <c r="S36" i="8"/>
  <c r="S41" i="8"/>
  <c r="S44" i="8"/>
  <c r="S52" i="8"/>
  <c r="S64" i="8"/>
  <c r="S80" i="8"/>
  <c r="S11" i="32"/>
  <c r="S40" i="32"/>
  <c r="K18" i="34"/>
  <c r="Y70" i="31"/>
  <c r="U30" i="32"/>
  <c r="U38" i="32"/>
  <c r="U25" i="32"/>
  <c r="U17" i="32"/>
  <c r="U15" i="32"/>
  <c r="U21" i="32"/>
  <c r="U37" i="32"/>
  <c r="U54" i="32"/>
  <c r="U59" i="32"/>
  <c r="U51" i="32"/>
  <c r="U58" i="32"/>
  <c r="U18" i="32"/>
  <c r="U22" i="32"/>
  <c r="U27" i="32"/>
  <c r="U62" i="32"/>
  <c r="U14" i="32"/>
  <c r="U12" i="32"/>
  <c r="U24" i="32"/>
  <c r="U40" i="32"/>
  <c r="U55" i="32"/>
  <c r="U31" i="32"/>
  <c r="U47" i="32"/>
  <c r="U64" i="32"/>
  <c r="U13" i="32"/>
  <c r="U19" i="32"/>
  <c r="U22" i="33"/>
  <c r="U38" i="33"/>
  <c r="U27" i="33"/>
  <c r="U20" i="33"/>
  <c r="U14" i="33"/>
  <c r="U32" i="33"/>
  <c r="U52" i="33"/>
  <c r="U31" i="33"/>
  <c r="U47" i="33"/>
  <c r="U64" i="33"/>
  <c r="U61" i="33"/>
  <c r="U63" i="33"/>
  <c r="U56" i="33"/>
  <c r="U41" i="33"/>
  <c r="U30" i="33"/>
  <c r="U10" i="33"/>
  <c r="U29" i="33"/>
  <c r="U45" i="33"/>
  <c r="U26" i="33"/>
  <c r="U42" i="33"/>
  <c r="U51" i="33"/>
  <c r="U58" i="33"/>
  <c r="U44" i="33"/>
  <c r="U46" i="33"/>
  <c r="U35" i="33"/>
  <c r="U25" i="33"/>
  <c r="U13" i="33"/>
  <c r="U21" i="33"/>
  <c r="U37" i="33"/>
  <c r="U54" i="33"/>
  <c r="U34" i="33"/>
  <c r="U48" i="33"/>
  <c r="U50" i="33"/>
  <c r="U15" i="33"/>
  <c r="U36" i="33"/>
  <c r="U65" i="33"/>
  <c r="Y28" i="34"/>
  <c r="AA28" i="34"/>
  <c r="Y56" i="34"/>
  <c r="AA56" i="34"/>
  <c r="Y64" i="34"/>
  <c r="AA64" i="34"/>
  <c r="Y39" i="34"/>
  <c r="AA39" i="34"/>
  <c r="Y30" i="34"/>
  <c r="AA30" i="34"/>
  <c r="Y22" i="34"/>
  <c r="AA22" i="34"/>
  <c r="Y47" i="34"/>
  <c r="AA47" i="34"/>
  <c r="Y63" i="34"/>
  <c r="AA63" i="34"/>
  <c r="Y48" i="34"/>
  <c r="AA48" i="34"/>
  <c r="Y19" i="34"/>
  <c r="AA19" i="34"/>
  <c r="Y27" i="34"/>
  <c r="AA27" i="34"/>
  <c r="Y35" i="34"/>
  <c r="AA35" i="34"/>
  <c r="Y16" i="34"/>
  <c r="AA16" i="34"/>
  <c r="Y24" i="34"/>
  <c r="AA24" i="34"/>
  <c r="Y32" i="34"/>
  <c r="AA32" i="34"/>
  <c r="Y13" i="34"/>
  <c r="AA13" i="34"/>
  <c r="Y21" i="34"/>
  <c r="AA21" i="34"/>
  <c r="Y25" i="34"/>
  <c r="AA25" i="34"/>
  <c r="Y29" i="34"/>
  <c r="AA29" i="34"/>
  <c r="Y49" i="34"/>
  <c r="AA49" i="34"/>
  <c r="Y54" i="34"/>
  <c r="AA54" i="34"/>
  <c r="Y62" i="34"/>
  <c r="AA62" i="34"/>
  <c r="Y41" i="34"/>
  <c r="AA41" i="34"/>
  <c r="I65" i="8"/>
  <c r="I54" i="8"/>
  <c r="I38" i="8"/>
  <c r="I22" i="8"/>
  <c r="I43" i="8"/>
  <c r="I60" i="8"/>
  <c r="I35" i="8"/>
  <c r="I63" i="8"/>
  <c r="I28" i="8"/>
  <c r="I44" i="8"/>
  <c r="I64" i="8"/>
  <c r="I25" i="8"/>
  <c r="I41" i="8"/>
  <c r="I57" i="8"/>
  <c r="I62" i="8"/>
  <c r="I30" i="8"/>
  <c r="I14" i="8"/>
  <c r="I23" i="8"/>
  <c r="I47" i="8"/>
  <c r="I20" i="8"/>
  <c r="I52" i="8"/>
  <c r="I17" i="8"/>
  <c r="I49" i="8"/>
  <c r="I58" i="8"/>
  <c r="I26" i="8"/>
  <c r="I10" i="8"/>
  <c r="I11" i="8"/>
  <c r="I12" i="8"/>
  <c r="I13" i="8"/>
  <c r="I15" i="8"/>
  <c r="I16" i="8"/>
  <c r="I18" i="8"/>
  <c r="I19" i="8"/>
  <c r="I21" i="8"/>
  <c r="I24" i="8"/>
  <c r="I27" i="8"/>
  <c r="I29" i="8"/>
  <c r="I31" i="8"/>
  <c r="I32" i="8"/>
  <c r="I33" i="8"/>
  <c r="I34" i="8"/>
  <c r="I36" i="8"/>
  <c r="I37" i="8"/>
  <c r="I39" i="8"/>
  <c r="I40" i="8"/>
  <c r="I42" i="8"/>
  <c r="I45" i="8"/>
  <c r="I46" i="8"/>
  <c r="I48" i="8"/>
  <c r="I50" i="8"/>
  <c r="I51" i="8"/>
  <c r="I53" i="8"/>
  <c r="I55" i="8"/>
  <c r="I56" i="8"/>
  <c r="I59" i="8"/>
  <c r="I61" i="8"/>
  <c r="I66" i="8"/>
  <c r="I80" i="8"/>
  <c r="E18" i="8"/>
  <c r="E55" i="8"/>
  <c r="E43" i="8"/>
  <c r="E61" i="8"/>
  <c r="W55" i="8"/>
  <c r="O75" i="8"/>
  <c r="E23" i="8"/>
  <c r="E30" i="8"/>
  <c r="E62" i="8"/>
  <c r="E28" i="8"/>
  <c r="E60" i="8"/>
  <c r="E12" i="8"/>
  <c r="E37" i="8"/>
  <c r="Q17" i="8"/>
  <c r="O17" i="8"/>
  <c r="O14" i="8"/>
  <c r="O46" i="8"/>
  <c r="O32" i="8"/>
  <c r="O37" i="8"/>
  <c r="O27" i="8"/>
  <c r="O59" i="8"/>
  <c r="W33" i="8"/>
  <c r="Z80" i="8"/>
  <c r="E50" i="8"/>
  <c r="E48" i="8"/>
  <c r="E25" i="8"/>
  <c r="I75" i="8"/>
  <c r="E39" i="8"/>
  <c r="E34" i="8"/>
  <c r="E66" i="8"/>
  <c r="E32" i="8"/>
  <c r="E64" i="8"/>
  <c r="E20" i="8"/>
  <c r="Q11" i="8"/>
  <c r="O28" i="8"/>
  <c r="O41" i="8"/>
  <c r="O26" i="8"/>
  <c r="O58" i="8"/>
  <c r="O56" i="8"/>
  <c r="O65" i="8"/>
  <c r="W64" i="8"/>
  <c r="W59" i="8"/>
  <c r="W53" i="8"/>
  <c r="W48" i="8"/>
  <c r="W43" i="8"/>
  <c r="W37" i="8"/>
  <c r="W32" i="8"/>
  <c r="W27" i="8"/>
  <c r="W21" i="8"/>
  <c r="W16" i="8"/>
  <c r="W11" i="8"/>
  <c r="W10" i="8"/>
  <c r="W26" i="8"/>
  <c r="W42" i="8"/>
  <c r="W58" i="8"/>
  <c r="W63" i="8"/>
  <c r="W57" i="8"/>
  <c r="W52" i="8"/>
  <c r="W47" i="8"/>
  <c r="W41" i="8"/>
  <c r="W36" i="8"/>
  <c r="W31" i="8"/>
  <c r="W25" i="8"/>
  <c r="W20" i="8"/>
  <c r="W15" i="8"/>
  <c r="W14" i="8"/>
  <c r="W30" i="8"/>
  <c r="W46" i="8"/>
  <c r="W62" i="8"/>
  <c r="W60" i="8"/>
  <c r="W49" i="8"/>
  <c r="W39" i="8"/>
  <c r="W28" i="8"/>
  <c r="W17" i="8"/>
  <c r="W18" i="8"/>
  <c r="W50" i="8"/>
  <c r="W56" i="8"/>
  <c r="W45" i="8"/>
  <c r="W35" i="8"/>
  <c r="W24" i="8"/>
  <c r="W13" i="8"/>
  <c r="W22" i="8"/>
  <c r="W54" i="8"/>
  <c r="U67" i="8"/>
  <c r="U75" i="8"/>
  <c r="W75" i="8"/>
  <c r="Q15" i="8"/>
  <c r="Q36" i="8"/>
  <c r="W40" i="8"/>
  <c r="Q22" i="8"/>
  <c r="Q43" i="8"/>
  <c r="Q38" i="8"/>
  <c r="W38" i="8"/>
  <c r="W23" i="8"/>
  <c r="W44" i="8"/>
  <c r="W65" i="8"/>
  <c r="W66" i="8"/>
  <c r="C68" i="8"/>
  <c r="C67" i="8"/>
  <c r="Q60" i="8"/>
  <c r="Q44" i="8"/>
  <c r="Q28" i="8"/>
  <c r="Q12" i="8"/>
  <c r="Q30" i="8"/>
  <c r="Q53" i="8"/>
  <c r="Q21" i="8"/>
  <c r="Q55" i="8"/>
  <c r="Q39" i="8"/>
  <c r="Q23" i="8"/>
  <c r="Q62" i="8"/>
  <c r="Q42" i="8"/>
  <c r="Q14" i="8"/>
  <c r="Q41" i="8"/>
  <c r="Q56" i="8"/>
  <c r="Q40" i="8"/>
  <c r="Q24" i="8"/>
  <c r="Q66" i="8"/>
  <c r="Q18" i="8"/>
  <c r="Q45" i="8"/>
  <c r="Q13" i="8"/>
  <c r="Q51" i="8"/>
  <c r="Q35" i="8"/>
  <c r="Q19" i="8"/>
  <c r="Q58" i="8"/>
  <c r="Q34" i="8"/>
  <c r="Q65" i="8"/>
  <c r="Q33" i="8"/>
  <c r="Q52" i="8"/>
  <c r="Q20" i="8"/>
  <c r="Q10" i="8"/>
  <c r="Q63" i="8"/>
  <c r="Q31" i="8"/>
  <c r="Q50" i="8"/>
  <c r="Q57" i="8"/>
  <c r="Q48" i="8"/>
  <c r="Q16" i="8"/>
  <c r="Q61" i="8"/>
  <c r="Q59" i="8"/>
  <c r="Q27" i="8"/>
  <c r="Q46" i="8"/>
  <c r="Q49" i="8"/>
  <c r="H79" i="8"/>
  <c r="G70" i="8"/>
  <c r="Q25" i="8"/>
  <c r="Q37" i="8"/>
  <c r="W19" i="8"/>
  <c r="W61" i="8"/>
  <c r="Q26" i="8"/>
  <c r="Q47" i="8"/>
  <c r="Q54" i="8"/>
  <c r="W34" i="8"/>
  <c r="W29" i="8"/>
  <c r="W51" i="8"/>
  <c r="E57" i="8"/>
  <c r="E49" i="8"/>
  <c r="E33" i="8"/>
  <c r="E17" i="8"/>
  <c r="E63" i="8"/>
  <c r="E27" i="8"/>
  <c r="E56" i="8"/>
  <c r="E40" i="8"/>
  <c r="E24" i="8"/>
  <c r="E31" i="8"/>
  <c r="E58" i="8"/>
  <c r="E42" i="8"/>
  <c r="E26" i="8"/>
  <c r="E10" i="8"/>
  <c r="E11" i="8"/>
  <c r="E65" i="8"/>
  <c r="E45" i="8"/>
  <c r="E29" i="8"/>
  <c r="E13" i="8"/>
  <c r="E51" i="8"/>
  <c r="E19" i="8"/>
  <c r="E52" i="8"/>
  <c r="E36" i="8"/>
  <c r="E16" i="8"/>
  <c r="E15" i="8"/>
  <c r="E54" i="8"/>
  <c r="E38" i="8"/>
  <c r="E22" i="8"/>
  <c r="E59" i="8"/>
  <c r="K68" i="8"/>
  <c r="K67" i="8"/>
  <c r="K75" i="8"/>
  <c r="O51" i="8"/>
  <c r="O35" i="8"/>
  <c r="O19" i="8"/>
  <c r="O53" i="8"/>
  <c r="O21" i="8"/>
  <c r="O48" i="8"/>
  <c r="O16" i="8"/>
  <c r="O54" i="8"/>
  <c r="O38" i="8"/>
  <c r="O22" i="8"/>
  <c r="O61" i="8"/>
  <c r="O33" i="8"/>
  <c r="O52" i="8"/>
  <c r="O20" i="8"/>
  <c r="O63" i="8"/>
  <c r="O47" i="8"/>
  <c r="O31" i="8"/>
  <c r="O15" i="8"/>
  <c r="O45" i="8"/>
  <c r="O13" i="8"/>
  <c r="O40" i="8"/>
  <c r="O66" i="8"/>
  <c r="O50" i="8"/>
  <c r="O34" i="8"/>
  <c r="O18" i="8"/>
  <c r="O57" i="8"/>
  <c r="O25" i="8"/>
  <c r="O44" i="8"/>
  <c r="O12" i="8"/>
  <c r="Z70" i="8"/>
  <c r="Z75" i="8"/>
  <c r="Y75" i="8"/>
  <c r="K57" i="33"/>
  <c r="K66" i="33"/>
  <c r="K50" i="33"/>
  <c r="K43" i="33"/>
  <c r="K27" i="33"/>
  <c r="K34" i="33"/>
  <c r="K12" i="33"/>
  <c r="K28" i="33"/>
  <c r="K64" i="33"/>
  <c r="K48" i="33"/>
  <c r="K41" i="33"/>
  <c r="K25" i="33"/>
  <c r="K26" i="33"/>
  <c r="K10" i="33"/>
  <c r="K11" i="33"/>
  <c r="K13" i="33"/>
  <c r="K14" i="33"/>
  <c r="K15" i="33"/>
  <c r="K16" i="33"/>
  <c r="K17" i="33"/>
  <c r="K18" i="33"/>
  <c r="K19" i="33"/>
  <c r="K20" i="33"/>
  <c r="K21" i="33"/>
  <c r="K22" i="33"/>
  <c r="K23" i="33"/>
  <c r="K24" i="33"/>
  <c r="K29" i="33"/>
  <c r="K30" i="33"/>
  <c r="K31" i="33"/>
  <c r="K32" i="33"/>
  <c r="K33" i="33"/>
  <c r="K35" i="33"/>
  <c r="K36" i="33"/>
  <c r="K37" i="33"/>
  <c r="K38" i="33"/>
  <c r="K39" i="33"/>
  <c r="K40" i="33"/>
  <c r="K42" i="33"/>
  <c r="K44" i="33"/>
  <c r="K45" i="33"/>
  <c r="K46" i="33"/>
  <c r="K47" i="33"/>
  <c r="K49" i="33"/>
  <c r="K51" i="33"/>
  <c r="K52" i="33"/>
  <c r="K53" i="33"/>
  <c r="K54" i="33"/>
  <c r="K55" i="33"/>
  <c r="K56" i="33"/>
  <c r="K58" i="33"/>
  <c r="K59" i="33"/>
  <c r="K60" i="33"/>
  <c r="K61" i="33"/>
  <c r="K62" i="33"/>
  <c r="K63" i="33"/>
  <c r="K65" i="33"/>
  <c r="K80" i="33"/>
  <c r="M75" i="32"/>
  <c r="M67" i="32"/>
  <c r="U62" i="34"/>
  <c r="U64" i="34"/>
  <c r="U35" i="34"/>
  <c r="E35" i="34"/>
  <c r="G35" i="34"/>
  <c r="M35" i="34"/>
  <c r="O35" i="34"/>
  <c r="W35" i="34"/>
  <c r="AB35" i="34"/>
  <c r="G29" i="27"/>
  <c r="U19" i="34"/>
  <c r="U51" i="34"/>
  <c r="U24" i="34"/>
  <c r="U11" i="34"/>
  <c r="U25" i="34"/>
  <c r="U58" i="34"/>
  <c r="U56" i="34"/>
  <c r="U28" i="34"/>
  <c r="U59" i="34"/>
  <c r="U37" i="34"/>
  <c r="U50" i="34"/>
  <c r="U65" i="34"/>
  <c r="U32" i="34"/>
  <c r="U17" i="34"/>
  <c r="U63" i="34"/>
  <c r="U15" i="34"/>
  <c r="U10" i="34"/>
  <c r="U12" i="34"/>
  <c r="U13" i="34"/>
  <c r="U14" i="34"/>
  <c r="U16" i="34"/>
  <c r="U18" i="34"/>
  <c r="U20" i="34"/>
  <c r="U21" i="34"/>
  <c r="U22" i="34"/>
  <c r="U23" i="34"/>
  <c r="U26" i="34"/>
  <c r="U27" i="34"/>
  <c r="U29" i="34"/>
  <c r="U30" i="34"/>
  <c r="U31" i="34"/>
  <c r="U33" i="34"/>
  <c r="U34" i="34"/>
  <c r="U36" i="34"/>
  <c r="U38" i="34"/>
  <c r="U39" i="34"/>
  <c r="U40" i="34"/>
  <c r="U41" i="34"/>
  <c r="U42" i="34"/>
  <c r="U43" i="34"/>
  <c r="U44" i="34"/>
  <c r="U45" i="34"/>
  <c r="U46" i="34"/>
  <c r="U47" i="34"/>
  <c r="U48" i="34"/>
  <c r="U49" i="34"/>
  <c r="U52" i="34"/>
  <c r="U53" i="34"/>
  <c r="U54" i="34"/>
  <c r="U55" i="34"/>
  <c r="U57" i="34"/>
  <c r="U60" i="34"/>
  <c r="U61" i="34"/>
  <c r="U66" i="34"/>
  <c r="U80" i="34"/>
  <c r="C52" i="32"/>
  <c r="C41" i="32"/>
  <c r="C25" i="32"/>
  <c r="C46" i="32"/>
  <c r="C65" i="32"/>
  <c r="C18" i="32"/>
  <c r="C63" i="32"/>
  <c r="C66" i="32"/>
  <c r="C50" i="32"/>
  <c r="C39" i="32"/>
  <c r="C23" i="32"/>
  <c r="C38" i="32"/>
  <c r="C28" i="32"/>
  <c r="C57" i="32"/>
  <c r="C61" i="32"/>
  <c r="C64" i="32"/>
  <c r="C48" i="32"/>
  <c r="C37" i="32"/>
  <c r="C21" i="32"/>
  <c r="C30" i="32"/>
  <c r="C20" i="32"/>
  <c r="C55" i="32"/>
  <c r="C56" i="32"/>
  <c r="C33" i="32"/>
  <c r="C49" i="32"/>
  <c r="C53" i="32"/>
  <c r="C14" i="32"/>
  <c r="C54" i="32"/>
  <c r="C31" i="32"/>
  <c r="C22" i="32"/>
  <c r="C26" i="32"/>
  <c r="C27" i="32"/>
  <c r="C59" i="32"/>
  <c r="C29" i="32"/>
  <c r="C16" i="32"/>
  <c r="C24" i="32"/>
  <c r="C51" i="32"/>
  <c r="C44" i="32"/>
  <c r="C19" i="32"/>
  <c r="C42" i="32"/>
  <c r="C58" i="32"/>
  <c r="C10" i="32"/>
  <c r="C62" i="32"/>
  <c r="C17" i="32"/>
  <c r="C36" i="32"/>
  <c r="C32" i="32"/>
  <c r="C47" i="32"/>
  <c r="C45" i="32"/>
  <c r="C60" i="32"/>
  <c r="C40" i="32"/>
  <c r="C34" i="32"/>
  <c r="C12" i="32"/>
  <c r="C35" i="32"/>
  <c r="C11" i="32"/>
  <c r="C13" i="32"/>
  <c r="C43" i="32"/>
  <c r="C15" i="32"/>
  <c r="I75" i="33"/>
  <c r="I67" i="33"/>
  <c r="S80" i="33"/>
  <c r="AA70" i="31"/>
  <c r="AA75" i="31"/>
  <c r="Y68" i="31"/>
  <c r="AA68" i="31"/>
  <c r="AB68" i="31"/>
  <c r="D62" i="27"/>
  <c r="Y75" i="31"/>
  <c r="G70" i="33"/>
  <c r="F68" i="33"/>
  <c r="Q80" i="31"/>
  <c r="AB75" i="34"/>
  <c r="G55" i="34"/>
  <c r="G42" i="34"/>
  <c r="G47" i="34"/>
  <c r="G48" i="34"/>
  <c r="G51" i="34"/>
  <c r="G38" i="34"/>
  <c r="G43" i="34"/>
  <c r="G33" i="34"/>
  <c r="G57" i="34"/>
  <c r="G66" i="34"/>
  <c r="G37" i="34"/>
  <c r="G24" i="34"/>
  <c r="G26" i="34"/>
  <c r="G22" i="34"/>
  <c r="E22" i="34"/>
  <c r="M22" i="34"/>
  <c r="O22" i="34"/>
  <c r="W22" i="34"/>
  <c r="AB22" i="34"/>
  <c r="G16" i="27"/>
  <c r="G53" i="34"/>
  <c r="G58" i="34"/>
  <c r="G64" i="34"/>
  <c r="G21" i="34"/>
  <c r="G19" i="34"/>
  <c r="G11" i="34"/>
  <c r="G49" i="34"/>
  <c r="G50" i="34"/>
  <c r="G56" i="34"/>
  <c r="G20" i="34"/>
  <c r="G14" i="34"/>
  <c r="G31" i="34"/>
  <c r="G65" i="34"/>
  <c r="G40" i="34"/>
  <c r="G29" i="34"/>
  <c r="G30" i="34"/>
  <c r="E30" i="34"/>
  <c r="M30" i="34"/>
  <c r="O30" i="34"/>
  <c r="W30" i="34"/>
  <c r="AB30" i="34"/>
  <c r="G24" i="27"/>
  <c r="G63" i="34"/>
  <c r="G62" i="34"/>
  <c r="G28" i="34"/>
  <c r="G23" i="34"/>
  <c r="G45" i="34"/>
  <c r="G34" i="34"/>
  <c r="E34" i="34"/>
  <c r="M34" i="34"/>
  <c r="O34" i="34"/>
  <c r="W34" i="34"/>
  <c r="Y34" i="34"/>
  <c r="AA34" i="34"/>
  <c r="AB34" i="34"/>
  <c r="G28" i="27"/>
  <c r="G61" i="34"/>
  <c r="G54" i="34"/>
  <c r="G25" i="34"/>
  <c r="G18" i="34"/>
  <c r="G59" i="34"/>
  <c r="G17" i="34"/>
  <c r="G52" i="34"/>
  <c r="G13" i="34"/>
  <c r="E13" i="34"/>
  <c r="M13" i="34"/>
  <c r="O13" i="34"/>
  <c r="W13" i="34"/>
  <c r="AB13" i="34"/>
  <c r="G7" i="27"/>
  <c r="G15" i="34"/>
  <c r="G10" i="34"/>
  <c r="G46" i="34"/>
  <c r="G12" i="34"/>
  <c r="G41" i="34"/>
  <c r="G44" i="34"/>
  <c r="G36" i="34"/>
  <c r="G60" i="34"/>
  <c r="E60" i="34"/>
  <c r="M60" i="34"/>
  <c r="O60" i="34"/>
  <c r="W60" i="34"/>
  <c r="Y60" i="34"/>
  <c r="AA60" i="34"/>
  <c r="AB60" i="34"/>
  <c r="G54" i="27"/>
  <c r="G16" i="34"/>
  <c r="G27" i="34"/>
  <c r="G39" i="34"/>
  <c r="G32" i="34"/>
  <c r="G67" i="31"/>
  <c r="Y17" i="34"/>
  <c r="AA17" i="34"/>
  <c r="AA67" i="34"/>
  <c r="AB67" i="34"/>
  <c r="AB68" i="34"/>
  <c r="AC70" i="34"/>
  <c r="AD75" i="34"/>
  <c r="AD82" i="34"/>
  <c r="Y11" i="34"/>
  <c r="AA11" i="34"/>
  <c r="E11" i="34"/>
  <c r="M11" i="34"/>
  <c r="O11" i="34"/>
  <c r="W11" i="34"/>
  <c r="AB11" i="34"/>
  <c r="G5" i="27"/>
  <c r="Y40" i="34"/>
  <c r="AA40" i="34"/>
  <c r="Y57" i="34"/>
  <c r="AA57" i="34"/>
  <c r="Y12" i="34"/>
  <c r="AA12" i="34"/>
  <c r="O74" i="32"/>
  <c r="E68" i="27"/>
  <c r="I79" i="31"/>
  <c r="M70" i="31"/>
  <c r="D68" i="27"/>
  <c r="O74" i="31"/>
  <c r="M2" i="6"/>
  <c r="M54" i="34"/>
  <c r="M18" i="34"/>
  <c r="M58" i="34"/>
  <c r="M19" i="34"/>
  <c r="M29" i="34"/>
  <c r="M51" i="34"/>
  <c r="M64" i="34"/>
  <c r="M49" i="34"/>
  <c r="M32" i="34"/>
  <c r="M16" i="34"/>
  <c r="M55" i="34"/>
  <c r="M15" i="34"/>
  <c r="M25" i="34"/>
  <c r="M59" i="34"/>
  <c r="M46" i="34"/>
  <c r="M14" i="34"/>
  <c r="M53" i="34"/>
  <c r="M10" i="34"/>
  <c r="M12" i="34"/>
  <c r="M17" i="34"/>
  <c r="M20" i="34"/>
  <c r="M21" i="34"/>
  <c r="M23" i="34"/>
  <c r="M24" i="34"/>
  <c r="M26" i="34"/>
  <c r="M27" i="34"/>
  <c r="M28" i="34"/>
  <c r="M31" i="34"/>
  <c r="M33" i="34"/>
  <c r="M36" i="34"/>
  <c r="M37" i="34"/>
  <c r="M38" i="34"/>
  <c r="M39" i="34"/>
  <c r="M40" i="34"/>
  <c r="M41" i="34"/>
  <c r="M42" i="34"/>
  <c r="M43" i="34"/>
  <c r="M44" i="34"/>
  <c r="M45" i="34"/>
  <c r="M47" i="34"/>
  <c r="M48" i="34"/>
  <c r="M50" i="34"/>
  <c r="M52" i="34"/>
  <c r="M56" i="34"/>
  <c r="M57" i="34"/>
  <c r="M61" i="34"/>
  <c r="M62" i="34"/>
  <c r="M63" i="34"/>
  <c r="M65" i="34"/>
  <c r="M66" i="34"/>
  <c r="M80" i="34"/>
  <c r="E21" i="34"/>
  <c r="O21" i="34"/>
  <c r="W21" i="34"/>
  <c r="AB21" i="34"/>
  <c r="G15" i="27"/>
  <c r="I32" i="32"/>
  <c r="I12" i="32"/>
  <c r="I58" i="32"/>
  <c r="I49" i="32"/>
  <c r="I60" i="32"/>
  <c r="I26" i="32"/>
  <c r="I55" i="32"/>
  <c r="I47" i="32"/>
  <c r="I59" i="32"/>
  <c r="I21" i="32"/>
  <c r="I11" i="32"/>
  <c r="I38" i="32"/>
  <c r="I20" i="32"/>
  <c r="I50" i="32"/>
  <c r="I44" i="32"/>
  <c r="I57" i="32"/>
  <c r="I18" i="32"/>
  <c r="I15" i="32"/>
  <c r="I41" i="32"/>
  <c r="I13" i="32"/>
  <c r="I25" i="32"/>
  <c r="I52" i="32"/>
  <c r="I42" i="32"/>
  <c r="I30" i="32"/>
  <c r="I51" i="32"/>
  <c r="I37" i="32"/>
  <c r="I33" i="32"/>
  <c r="I64" i="32"/>
  <c r="I65" i="32"/>
  <c r="I39" i="32"/>
  <c r="I34" i="32"/>
  <c r="I35" i="32"/>
  <c r="I63" i="32"/>
  <c r="I45" i="32"/>
  <c r="I48" i="32"/>
  <c r="I56" i="32"/>
  <c r="I29" i="32"/>
  <c r="I19" i="32"/>
  <c r="I10" i="32"/>
  <c r="I22" i="32"/>
  <c r="I54" i="32"/>
  <c r="I27" i="32"/>
  <c r="I14" i="32"/>
  <c r="I53" i="32"/>
  <c r="I61" i="32"/>
  <c r="I24" i="32"/>
  <c r="I36" i="32"/>
  <c r="I62" i="32"/>
  <c r="I28" i="32"/>
  <c r="I31" i="32"/>
  <c r="I43" i="32"/>
  <c r="I23" i="32"/>
  <c r="I46" i="32"/>
  <c r="I40" i="32"/>
  <c r="I17" i="32"/>
  <c r="I16" i="32"/>
  <c r="I66" i="32"/>
  <c r="I80" i="32"/>
  <c r="E48" i="34"/>
  <c r="O48" i="34"/>
  <c r="W48" i="34"/>
  <c r="AB48" i="34"/>
  <c r="G42" i="27"/>
  <c r="M80" i="33"/>
  <c r="K61" i="31"/>
  <c r="K64" i="31"/>
  <c r="K58" i="31"/>
  <c r="K28" i="31"/>
  <c r="K40" i="31"/>
  <c r="K29" i="31"/>
  <c r="K18" i="31"/>
  <c r="K59" i="31"/>
  <c r="K56" i="31"/>
  <c r="K44" i="31"/>
  <c r="K25" i="31"/>
  <c r="K37" i="31"/>
  <c r="K27" i="31"/>
  <c r="K16" i="31"/>
  <c r="K57" i="31"/>
  <c r="K48" i="31"/>
  <c r="K54" i="31"/>
  <c r="K20" i="31"/>
  <c r="K38" i="31"/>
  <c r="K26" i="31"/>
  <c r="K15" i="31"/>
  <c r="K55" i="31"/>
  <c r="K62" i="31"/>
  <c r="K12" i="31"/>
  <c r="K30" i="31"/>
  <c r="K11" i="31"/>
  <c r="K10" i="31"/>
  <c r="K13" i="31"/>
  <c r="K14" i="31"/>
  <c r="K17" i="31"/>
  <c r="K19" i="31"/>
  <c r="K21" i="31"/>
  <c r="K22" i="31"/>
  <c r="K23" i="31"/>
  <c r="K24" i="31"/>
  <c r="K31" i="31"/>
  <c r="K32" i="31"/>
  <c r="K33" i="31"/>
  <c r="K34" i="31"/>
  <c r="K35" i="31"/>
  <c r="K36" i="31"/>
  <c r="K39" i="31"/>
  <c r="K41" i="31"/>
  <c r="K42" i="31"/>
  <c r="K43" i="31"/>
  <c r="K45" i="31"/>
  <c r="K46" i="31"/>
  <c r="K47" i="31"/>
  <c r="K49" i="31"/>
  <c r="K50" i="31"/>
  <c r="K51" i="31"/>
  <c r="K52" i="31"/>
  <c r="K53" i="31"/>
  <c r="K60" i="31"/>
  <c r="K63" i="31"/>
  <c r="K65" i="31"/>
  <c r="K66" i="31"/>
  <c r="K80" i="31"/>
  <c r="G75" i="31"/>
  <c r="Y43" i="34"/>
  <c r="AA43" i="34"/>
  <c r="Y66" i="34"/>
  <c r="AA66" i="34"/>
  <c r="Y59" i="34"/>
  <c r="AA59" i="34"/>
  <c r="Y20" i="34"/>
  <c r="AA20" i="34"/>
  <c r="E20" i="34"/>
  <c r="O20" i="34"/>
  <c r="W20" i="34"/>
  <c r="AB20" i="34"/>
  <c r="G14" i="27"/>
  <c r="S80" i="32"/>
  <c r="U62" i="33"/>
  <c r="U12" i="33"/>
  <c r="U55" i="33"/>
  <c r="U18" i="33"/>
  <c r="U53" i="33"/>
  <c r="U23" i="33"/>
  <c r="U33" i="33"/>
  <c r="U43" i="33"/>
  <c r="U24" i="33"/>
  <c r="U57" i="33"/>
  <c r="U40" i="33"/>
  <c r="U49" i="33"/>
  <c r="U39" i="33"/>
  <c r="U59" i="33"/>
  <c r="U28" i="32"/>
  <c r="U26" i="32"/>
  <c r="U39" i="32"/>
  <c r="U16" i="32"/>
  <c r="U36" i="32"/>
  <c r="U23" i="32"/>
  <c r="U34" i="32"/>
  <c r="U10" i="32"/>
  <c r="U57" i="32"/>
  <c r="U41" i="32"/>
  <c r="U48" i="32"/>
  <c r="U35" i="32"/>
  <c r="U56" i="32"/>
  <c r="U43" i="32"/>
  <c r="U20" i="32"/>
  <c r="U52" i="32"/>
  <c r="U65" i="32"/>
  <c r="U29" i="32"/>
  <c r="U46" i="32"/>
  <c r="U66" i="32"/>
  <c r="U60" i="32"/>
  <c r="U45" i="32"/>
  <c r="U44" i="32"/>
  <c r="U32" i="32"/>
  <c r="U50" i="32"/>
  <c r="U33" i="32"/>
  <c r="U53" i="32"/>
  <c r="U49" i="32"/>
  <c r="W80" i="31"/>
  <c r="E47" i="32"/>
  <c r="E59" i="32"/>
  <c r="E34" i="32"/>
  <c r="E65" i="32"/>
  <c r="E35" i="32"/>
  <c r="E48" i="32"/>
  <c r="E17" i="32"/>
  <c r="E37" i="32"/>
  <c r="E11" i="32"/>
  <c r="E60" i="32"/>
  <c r="E12" i="32"/>
  <c r="E62" i="32"/>
  <c r="E30" i="32"/>
  <c r="E44" i="32"/>
  <c r="E24" i="32"/>
  <c r="E40" i="32"/>
  <c r="E14" i="32"/>
  <c r="E61" i="32"/>
  <c r="E13" i="32"/>
  <c r="E57" i="32"/>
  <c r="E66" i="32"/>
  <c r="E41" i="32"/>
  <c r="E26" i="32"/>
  <c r="E10" i="32"/>
  <c r="E63" i="32"/>
  <c r="E16" i="32"/>
  <c r="E54" i="32"/>
  <c r="E51" i="32"/>
  <c r="E19" i="32"/>
  <c r="E15" i="32"/>
  <c r="E49" i="32"/>
  <c r="E50" i="32"/>
  <c r="E21" i="32"/>
  <c r="E31" i="32"/>
  <c r="E46" i="32"/>
  <c r="E36" i="32"/>
  <c r="E22" i="32"/>
  <c r="E45" i="32"/>
  <c r="E64" i="32"/>
  <c r="E25" i="32"/>
  <c r="E43" i="32"/>
  <c r="E20" i="32"/>
  <c r="E38" i="32"/>
  <c r="E18" i="32"/>
  <c r="E52" i="32"/>
  <c r="E33" i="32"/>
  <c r="E23" i="32"/>
  <c r="E39" i="32"/>
  <c r="E28" i="32"/>
  <c r="E42" i="32"/>
  <c r="E27" i="32"/>
  <c r="E32" i="32"/>
  <c r="E55" i="32"/>
  <c r="E58" i="32"/>
  <c r="E29" i="32"/>
  <c r="E53" i="32"/>
  <c r="E56" i="32"/>
  <c r="W63" i="34"/>
  <c r="W47" i="34"/>
  <c r="W38" i="34"/>
  <c r="W18" i="34"/>
  <c r="W23" i="34"/>
  <c r="W28" i="34"/>
  <c r="W41" i="34"/>
  <c r="W61" i="34"/>
  <c r="W64" i="34"/>
  <c r="W36" i="34"/>
  <c r="W14" i="34"/>
  <c r="W19" i="34"/>
  <c r="W43" i="34"/>
  <c r="W37" i="34"/>
  <c r="W59" i="34"/>
  <c r="W56" i="34"/>
  <c r="W62" i="34"/>
  <c r="W10" i="34"/>
  <c r="W15" i="34"/>
  <c r="W39" i="34"/>
  <c r="W29" i="34"/>
  <c r="W65" i="34"/>
  <c r="W44" i="34"/>
  <c r="W50" i="34"/>
  <c r="W57" i="34"/>
  <c r="W42" i="34"/>
  <c r="W52" i="34"/>
  <c r="W32" i="34"/>
  <c r="W33" i="34"/>
  <c r="W55" i="34"/>
  <c r="W40" i="34"/>
  <c r="W24" i="34"/>
  <c r="W54" i="34"/>
  <c r="W66" i="34"/>
  <c r="W25" i="34"/>
  <c r="W58" i="34"/>
  <c r="W26" i="34"/>
  <c r="W53" i="34"/>
  <c r="W31" i="34"/>
  <c r="W51" i="34"/>
  <c r="W49" i="34"/>
  <c r="W27" i="34"/>
  <c r="W12" i="34"/>
  <c r="W45" i="34"/>
  <c r="W16" i="34"/>
  <c r="W46" i="34"/>
  <c r="W17" i="34"/>
  <c r="I75" i="31"/>
  <c r="I67" i="31"/>
  <c r="G62" i="27"/>
  <c r="O75" i="33"/>
  <c r="O67" i="33"/>
  <c r="AA68" i="33"/>
  <c r="AB68" i="33"/>
  <c r="F62" i="27"/>
  <c r="Y67" i="33"/>
  <c r="E58" i="34"/>
  <c r="E17" i="34"/>
  <c r="E57" i="34"/>
  <c r="E44" i="34"/>
  <c r="E28" i="34"/>
  <c r="O28" i="34"/>
  <c r="AB28" i="34"/>
  <c r="G22" i="27"/>
  <c r="E12" i="34"/>
  <c r="E50" i="34"/>
  <c r="E64" i="34"/>
  <c r="O64" i="34"/>
  <c r="AB64" i="34"/>
  <c r="G58" i="27"/>
  <c r="E37" i="34"/>
  <c r="E54" i="34"/>
  <c r="O54" i="34"/>
  <c r="AB54" i="34"/>
  <c r="G48" i="27"/>
  <c r="E42" i="34"/>
  <c r="E26" i="34"/>
  <c r="E10" i="34"/>
  <c r="E33" i="34"/>
  <c r="O33" i="34"/>
  <c r="Y33" i="34"/>
  <c r="AA33" i="34"/>
  <c r="AB33" i="34"/>
  <c r="G27" i="27"/>
  <c r="E59" i="34"/>
  <c r="E39" i="34"/>
  <c r="O39" i="34"/>
  <c r="AB39" i="34"/>
  <c r="G33" i="27"/>
  <c r="E49" i="34"/>
  <c r="E40" i="34"/>
  <c r="E24" i="34"/>
  <c r="O24" i="34"/>
  <c r="AB24" i="34"/>
  <c r="G18" i="27"/>
  <c r="E61" i="34"/>
  <c r="E27" i="34"/>
  <c r="O27" i="34"/>
  <c r="AB27" i="34"/>
  <c r="G21" i="27"/>
  <c r="E62" i="34"/>
  <c r="O62" i="34"/>
  <c r="AB62" i="34"/>
  <c r="G56" i="27"/>
  <c r="E56" i="34"/>
  <c r="O56" i="34"/>
  <c r="AB56" i="34"/>
  <c r="G50" i="27"/>
  <c r="E63" i="34"/>
  <c r="O63" i="34"/>
  <c r="AB63" i="34"/>
  <c r="G57" i="27"/>
  <c r="E32" i="34"/>
  <c r="O32" i="34"/>
  <c r="AB32" i="34"/>
  <c r="G26" i="27"/>
  <c r="E29" i="34"/>
  <c r="E51" i="34"/>
  <c r="O51" i="34"/>
  <c r="Y51" i="34"/>
  <c r="AA51" i="34"/>
  <c r="AB51" i="34"/>
  <c r="G45" i="27"/>
  <c r="E66" i="34"/>
  <c r="E46" i="34"/>
  <c r="E53" i="34"/>
  <c r="E38" i="34"/>
  <c r="E31" i="34"/>
  <c r="O31" i="34"/>
  <c r="AB31" i="34"/>
  <c r="G25" i="27"/>
  <c r="E41" i="34"/>
  <c r="O41" i="34"/>
  <c r="AB41" i="34"/>
  <c r="G35" i="27"/>
  <c r="E36" i="34"/>
  <c r="E19" i="34"/>
  <c r="O19" i="34"/>
  <c r="AB19" i="34"/>
  <c r="G13" i="27"/>
  <c r="E55" i="34"/>
  <c r="E52" i="34"/>
  <c r="E23" i="34"/>
  <c r="E47" i="34"/>
  <c r="O47" i="34"/>
  <c r="AB47" i="34"/>
  <c r="G41" i="27"/>
  <c r="E65" i="34"/>
  <c r="E15" i="34"/>
  <c r="E14" i="34"/>
  <c r="E25" i="34"/>
  <c r="E18" i="34"/>
  <c r="E16" i="34"/>
  <c r="O16" i="34"/>
  <c r="AB16" i="34"/>
  <c r="G10" i="27"/>
  <c r="E45" i="34"/>
  <c r="E43" i="34"/>
  <c r="Y53" i="34"/>
  <c r="AA53" i="34"/>
  <c r="Y18" i="34"/>
  <c r="AA18" i="34"/>
  <c r="Y55" i="34"/>
  <c r="AA55" i="34"/>
  <c r="Y26" i="34"/>
  <c r="AA26" i="34"/>
  <c r="Y44" i="34"/>
  <c r="AA44" i="34"/>
  <c r="Y36" i="34"/>
  <c r="AA36" i="34"/>
  <c r="Y10" i="34"/>
  <c r="AA10" i="34"/>
  <c r="Y52" i="34"/>
  <c r="AA52" i="34"/>
  <c r="Y42" i="34"/>
  <c r="AA42" i="34"/>
  <c r="Y14" i="34"/>
  <c r="AA14" i="34"/>
  <c r="Y37" i="34"/>
  <c r="AA37" i="34"/>
  <c r="O37" i="34"/>
  <c r="AB37" i="34"/>
  <c r="G31" i="27"/>
  <c r="Y58" i="34"/>
  <c r="AA58" i="34"/>
  <c r="Y65" i="34"/>
  <c r="AA65" i="34"/>
  <c r="O65" i="34"/>
  <c r="AB65" i="34"/>
  <c r="G59" i="27"/>
  <c r="Y46" i="34"/>
  <c r="AA46" i="34"/>
  <c r="Y23" i="34"/>
  <c r="AA23" i="34"/>
  <c r="G70" i="32"/>
  <c r="F68" i="32"/>
  <c r="Y67" i="32"/>
  <c r="O53" i="34"/>
  <c r="O40" i="34"/>
  <c r="O26" i="34"/>
  <c r="O10" i="34"/>
  <c r="O12" i="34"/>
  <c r="O14" i="34"/>
  <c r="O15" i="34"/>
  <c r="O17" i="34"/>
  <c r="O18" i="34"/>
  <c r="O23" i="34"/>
  <c r="O25" i="34"/>
  <c r="O29" i="34"/>
  <c r="O36" i="34"/>
  <c r="O38" i="34"/>
  <c r="O42" i="34"/>
  <c r="O43" i="34"/>
  <c r="O44" i="34"/>
  <c r="O45" i="34"/>
  <c r="O46" i="34"/>
  <c r="O49" i="34"/>
  <c r="O50" i="34"/>
  <c r="O52" i="34"/>
  <c r="O55" i="34"/>
  <c r="O57" i="34"/>
  <c r="O58" i="34"/>
  <c r="O59" i="34"/>
  <c r="O61" i="34"/>
  <c r="O66" i="34"/>
  <c r="O80" i="34"/>
  <c r="V38" i="6"/>
  <c r="AB25" i="34"/>
  <c r="G19" i="27"/>
  <c r="S37" i="6"/>
  <c r="S38" i="6"/>
  <c r="Y50" i="34"/>
  <c r="AA50" i="34"/>
  <c r="Y45" i="34"/>
  <c r="AA45" i="34"/>
  <c r="Y61" i="34"/>
  <c r="AA61" i="34"/>
  <c r="Y38" i="34"/>
  <c r="AA38" i="34"/>
  <c r="Y15" i="34"/>
  <c r="AA15" i="34"/>
  <c r="U66" i="33"/>
  <c r="U19" i="33"/>
  <c r="U11" i="33"/>
  <c r="U16" i="33"/>
  <c r="U17" i="33"/>
  <c r="U28" i="33"/>
  <c r="U60" i="33"/>
  <c r="U80" i="33"/>
  <c r="U61" i="32"/>
  <c r="U11" i="32"/>
  <c r="U42" i="32"/>
  <c r="U63" i="32"/>
  <c r="U80" i="32"/>
  <c r="K80" i="34"/>
  <c r="AB66" i="34"/>
  <c r="G60" i="27"/>
  <c r="AB49" i="34"/>
  <c r="G43" i="27"/>
  <c r="AB29" i="34"/>
  <c r="G23" i="27"/>
  <c r="G66" i="31"/>
  <c r="G56" i="31"/>
  <c r="G55" i="31"/>
  <c r="G40" i="31"/>
  <c r="G61" i="31"/>
  <c r="G32" i="31"/>
  <c r="G11" i="31"/>
  <c r="G18" i="31"/>
  <c r="G31" i="31"/>
  <c r="G23" i="31"/>
  <c r="G15" i="31"/>
  <c r="G10" i="31"/>
  <c r="G19" i="31"/>
  <c r="G44" i="31"/>
  <c r="G54" i="31"/>
  <c r="G60" i="31"/>
  <c r="G46" i="31"/>
  <c r="G65" i="31"/>
  <c r="G34" i="31"/>
  <c r="G29" i="31"/>
  <c r="G12" i="31"/>
  <c r="G14" i="31"/>
  <c r="G59" i="31"/>
  <c r="G62" i="31"/>
  <c r="G58" i="31"/>
  <c r="G42" i="31"/>
  <c r="G16" i="31"/>
  <c r="G36" i="31"/>
  <c r="G17" i="31"/>
  <c r="G64" i="31"/>
  <c r="G52" i="31"/>
  <c r="G47" i="31"/>
  <c r="G53" i="31"/>
  <c r="G57" i="31"/>
  <c r="G27" i="31"/>
  <c r="G45" i="31"/>
  <c r="G39" i="31"/>
  <c r="G30" i="31"/>
  <c r="G22" i="31"/>
  <c r="G13" i="31"/>
  <c r="G28" i="31"/>
  <c r="G38" i="31"/>
  <c r="G35" i="31"/>
  <c r="G50" i="31"/>
  <c r="G49" i="31"/>
  <c r="G24" i="31"/>
  <c r="G37" i="31"/>
  <c r="G20" i="31"/>
  <c r="G48" i="31"/>
  <c r="G43" i="31"/>
  <c r="G41" i="31"/>
  <c r="G26" i="31"/>
  <c r="G25" i="31"/>
  <c r="G21" i="31"/>
  <c r="G33" i="31"/>
  <c r="G51" i="31"/>
  <c r="G63" i="31"/>
  <c r="O80" i="8"/>
  <c r="I79" i="8"/>
  <c r="M70" i="8"/>
  <c r="W80" i="8"/>
  <c r="AA70" i="8"/>
  <c r="AA75" i="8"/>
  <c r="Y68" i="8"/>
  <c r="U27" i="8"/>
  <c r="U33" i="8"/>
  <c r="U58" i="8"/>
  <c r="U42" i="8"/>
  <c r="U26" i="8"/>
  <c r="U10" i="8"/>
  <c r="U64" i="8"/>
  <c r="U48" i="8"/>
  <c r="U32" i="8"/>
  <c r="U16" i="8"/>
  <c r="U51" i="8"/>
  <c r="U31" i="8"/>
  <c r="U65" i="8"/>
  <c r="U29" i="8"/>
  <c r="U15" i="8"/>
  <c r="U17" i="8"/>
  <c r="U54" i="8"/>
  <c r="U38" i="8"/>
  <c r="U22" i="8"/>
  <c r="U61" i="8"/>
  <c r="U60" i="8"/>
  <c r="U44" i="8"/>
  <c r="U28" i="8"/>
  <c r="U12" i="8"/>
  <c r="U47" i="8"/>
  <c r="U23" i="8"/>
  <c r="U53" i="8"/>
  <c r="U21" i="8"/>
  <c r="U57" i="8"/>
  <c r="U50" i="8"/>
  <c r="U18" i="8"/>
  <c r="U56" i="8"/>
  <c r="U24" i="8"/>
  <c r="U39" i="8"/>
  <c r="U49" i="8"/>
  <c r="U45" i="8"/>
  <c r="U46" i="8"/>
  <c r="U14" i="8"/>
  <c r="U52" i="8"/>
  <c r="U20" i="8"/>
  <c r="U35" i="8"/>
  <c r="U37" i="8"/>
  <c r="U66" i="8"/>
  <c r="U41" i="8"/>
  <c r="U63" i="8"/>
  <c r="U13" i="8"/>
  <c r="U34" i="8"/>
  <c r="U19" i="8"/>
  <c r="U30" i="8"/>
  <c r="U11" i="8"/>
  <c r="U62" i="8"/>
  <c r="U25" i="8"/>
  <c r="U55" i="8"/>
  <c r="U59" i="8"/>
  <c r="U40" i="8"/>
  <c r="U43" i="8"/>
  <c r="U36" i="8"/>
  <c r="K51" i="8"/>
  <c r="K35" i="8"/>
  <c r="K19" i="8"/>
  <c r="K12" i="8"/>
  <c r="K48" i="8"/>
  <c r="K24" i="8"/>
  <c r="K52" i="8"/>
  <c r="K17" i="8"/>
  <c r="K33" i="8"/>
  <c r="K49" i="8"/>
  <c r="K10" i="8"/>
  <c r="K26" i="8"/>
  <c r="K42" i="8"/>
  <c r="K58" i="8"/>
  <c r="K63" i="8"/>
  <c r="K47" i="8"/>
  <c r="K31" i="8"/>
  <c r="K15" i="8"/>
  <c r="K20" i="8"/>
  <c r="K60" i="8"/>
  <c r="K28" i="8"/>
  <c r="K56" i="8"/>
  <c r="K21" i="8"/>
  <c r="K37" i="8"/>
  <c r="K53" i="8"/>
  <c r="K14" i="8"/>
  <c r="K30" i="8"/>
  <c r="K46" i="8"/>
  <c r="K55" i="8"/>
  <c r="K23" i="8"/>
  <c r="K32" i="8"/>
  <c r="K36" i="8"/>
  <c r="K25" i="8"/>
  <c r="K57" i="8"/>
  <c r="K34" i="8"/>
  <c r="K62" i="8"/>
  <c r="K43" i="8"/>
  <c r="K11" i="8"/>
  <c r="K40" i="8"/>
  <c r="K44" i="8"/>
  <c r="K29" i="8"/>
  <c r="K65" i="8"/>
  <c r="K38" i="8"/>
  <c r="K59" i="8"/>
  <c r="K61" i="8"/>
  <c r="K41" i="8"/>
  <c r="K50" i="8"/>
  <c r="K27" i="8"/>
  <c r="K18" i="8"/>
  <c r="K22" i="8"/>
  <c r="K39" i="8"/>
  <c r="K16" i="8"/>
  <c r="K45" i="8"/>
  <c r="K54" i="8"/>
  <c r="K66" i="8"/>
  <c r="K64" i="8"/>
  <c r="K13" i="8"/>
  <c r="G75" i="8"/>
  <c r="G67" i="8"/>
  <c r="C62" i="8"/>
  <c r="C46" i="8"/>
  <c r="C30" i="8"/>
  <c r="C14" i="8"/>
  <c r="C53" i="8"/>
  <c r="C37" i="8"/>
  <c r="C21" i="8"/>
  <c r="C56" i="8"/>
  <c r="C32" i="8"/>
  <c r="C59" i="8"/>
  <c r="C31" i="8"/>
  <c r="C60" i="8"/>
  <c r="C58" i="8"/>
  <c r="C42" i="8"/>
  <c r="C26" i="8"/>
  <c r="C10" i="8"/>
  <c r="C49" i="8"/>
  <c r="C33" i="8"/>
  <c r="C17" i="8"/>
  <c r="C52" i="8"/>
  <c r="C28" i="8"/>
  <c r="C51" i="8"/>
  <c r="C23" i="8"/>
  <c r="C48" i="8"/>
  <c r="C54" i="8"/>
  <c r="C22" i="8"/>
  <c r="C45" i="8"/>
  <c r="C13" i="8"/>
  <c r="C20" i="8"/>
  <c r="C15" i="8"/>
  <c r="C16" i="8"/>
  <c r="C39" i="8"/>
  <c r="C44" i="8"/>
  <c r="C55" i="8"/>
  <c r="C34" i="8"/>
  <c r="C40" i="8"/>
  <c r="C24" i="8"/>
  <c r="C11" i="8"/>
  <c r="C50" i="8"/>
  <c r="C18" i="8"/>
  <c r="C41" i="8"/>
  <c r="C64" i="8"/>
  <c r="C12" i="8"/>
  <c r="C65" i="8"/>
  <c r="C63" i="8"/>
  <c r="C27" i="8"/>
  <c r="C38" i="8"/>
  <c r="C61" i="8"/>
  <c r="C29" i="8"/>
  <c r="C43" i="8"/>
  <c r="C36" i="8"/>
  <c r="C19" i="8"/>
  <c r="C66" i="8"/>
  <c r="C57" i="8"/>
  <c r="C25" i="8"/>
  <c r="C35" i="8"/>
  <c r="C47" i="8"/>
  <c r="M67" i="8"/>
  <c r="M75" i="8"/>
  <c r="Q80" i="8"/>
  <c r="AA68" i="8"/>
  <c r="AB68" i="8"/>
  <c r="C62" i="27"/>
  <c r="AB10" i="34"/>
  <c r="G4" i="27"/>
  <c r="AB12" i="34"/>
  <c r="G6" i="27"/>
  <c r="AB14" i="34"/>
  <c r="G8" i="27"/>
  <c r="AB15" i="34"/>
  <c r="G9" i="27"/>
  <c r="AB17" i="34"/>
  <c r="G11" i="27"/>
  <c r="AB18" i="34"/>
  <c r="G12" i="27"/>
  <c r="AB23" i="34"/>
  <c r="G17" i="27"/>
  <c r="AB26" i="34"/>
  <c r="G20" i="27"/>
  <c r="AB36" i="34"/>
  <c r="G30" i="27"/>
  <c r="AB38" i="34"/>
  <c r="G32" i="27"/>
  <c r="AB40" i="34"/>
  <c r="G34" i="27"/>
  <c r="AB42" i="34"/>
  <c r="G36" i="27"/>
  <c r="AB43" i="34"/>
  <c r="G37" i="27"/>
  <c r="AB44" i="34"/>
  <c r="G38" i="27"/>
  <c r="AB45" i="34"/>
  <c r="G39" i="27"/>
  <c r="AB46" i="34"/>
  <c r="G40" i="27"/>
  <c r="AB50" i="34"/>
  <c r="G44" i="27"/>
  <c r="AB52" i="34"/>
  <c r="G46" i="27"/>
  <c r="AB53" i="34"/>
  <c r="G47" i="27"/>
  <c r="AB55" i="34"/>
  <c r="G49" i="27"/>
  <c r="AB57" i="34"/>
  <c r="G51" i="27"/>
  <c r="AB58" i="34"/>
  <c r="G52" i="27"/>
  <c r="AB59" i="34"/>
  <c r="G53" i="27"/>
  <c r="AB61" i="34"/>
  <c r="G55" i="27"/>
  <c r="G61" i="27"/>
  <c r="G64" i="27"/>
  <c r="G79" i="27"/>
  <c r="G81" i="27"/>
  <c r="W80" i="34"/>
  <c r="I58" i="33"/>
  <c r="I44" i="33"/>
  <c r="I29" i="33"/>
  <c r="I55" i="33"/>
  <c r="I36" i="33"/>
  <c r="I26" i="33"/>
  <c r="I22" i="33"/>
  <c r="I50" i="33"/>
  <c r="I31" i="33"/>
  <c r="I18" i="33"/>
  <c r="I49" i="33"/>
  <c r="I12" i="33"/>
  <c r="I15" i="33"/>
  <c r="I65" i="33"/>
  <c r="I47" i="33"/>
  <c r="I40" i="33"/>
  <c r="I60" i="33"/>
  <c r="I28" i="33"/>
  <c r="I57" i="33"/>
  <c r="I34" i="33"/>
  <c r="I66" i="33"/>
  <c r="I13" i="33"/>
  <c r="I54" i="33"/>
  <c r="I16" i="33"/>
  <c r="I62" i="33"/>
  <c r="I30" i="33"/>
  <c r="I17" i="33"/>
  <c r="I32" i="33"/>
  <c r="I39" i="33"/>
  <c r="I27" i="33"/>
  <c r="I20" i="33"/>
  <c r="I19" i="33"/>
  <c r="I51" i="33"/>
  <c r="I14" i="33"/>
  <c r="I42" i="33"/>
  <c r="I23" i="33"/>
  <c r="I63" i="33"/>
  <c r="I35" i="33"/>
  <c r="I24" i="33"/>
  <c r="I53" i="33"/>
  <c r="I25" i="33"/>
  <c r="I46" i="33"/>
  <c r="I11" i="33"/>
  <c r="I10" i="33"/>
  <c r="I21" i="33"/>
  <c r="I33" i="33"/>
  <c r="I37" i="33"/>
  <c r="I38" i="33"/>
  <c r="I41" i="33"/>
  <c r="I43" i="33"/>
  <c r="I45" i="33"/>
  <c r="I48" i="33"/>
  <c r="I52" i="33"/>
  <c r="I56" i="33"/>
  <c r="I59" i="33"/>
  <c r="I61" i="33"/>
  <c r="I64" i="33"/>
  <c r="I80" i="33"/>
  <c r="Y62" i="32"/>
  <c r="AA62" i="32"/>
  <c r="Y40" i="32"/>
  <c r="AA40" i="32"/>
  <c r="Y61" i="32"/>
  <c r="AA61" i="32"/>
  <c r="Y37" i="32"/>
  <c r="AA37" i="32"/>
  <c r="Y24" i="32"/>
  <c r="AA24" i="32"/>
  <c r="Y48" i="32"/>
  <c r="AA48" i="32"/>
  <c r="Y23" i="32"/>
  <c r="AA23" i="32"/>
  <c r="Y59" i="32"/>
  <c r="AA59" i="32"/>
  <c r="Y57" i="32"/>
  <c r="AA57" i="32"/>
  <c r="Y46" i="32"/>
  <c r="AA46" i="32"/>
  <c r="Y25" i="32"/>
  <c r="AA25" i="32"/>
  <c r="Y16" i="32"/>
  <c r="AA16" i="32"/>
  <c r="Y39" i="32"/>
  <c r="AA39" i="32"/>
  <c r="Y21" i="32"/>
  <c r="AA21" i="32"/>
  <c r="Y13" i="32"/>
  <c r="AA13" i="32"/>
  <c r="Y56" i="32"/>
  <c r="AA56" i="32"/>
  <c r="Y35" i="32"/>
  <c r="AA35" i="32"/>
  <c r="Y22" i="32"/>
  <c r="AA22" i="32"/>
  <c r="Y29" i="32"/>
  <c r="AA29" i="32"/>
  <c r="Y36" i="32"/>
  <c r="AA36" i="32"/>
  <c r="Y47" i="32"/>
  <c r="AA47" i="32"/>
  <c r="Y10" i="32"/>
  <c r="AA10" i="32"/>
  <c r="AA67" i="32"/>
  <c r="Y63" i="32"/>
  <c r="AA63" i="32"/>
  <c r="Y17" i="32"/>
  <c r="AA17" i="32"/>
  <c r="Y31" i="32"/>
  <c r="AA31" i="32"/>
  <c r="Y20" i="32"/>
  <c r="AA20" i="32"/>
  <c r="Y54" i="32"/>
  <c r="AA54" i="32"/>
  <c r="Y45" i="32"/>
  <c r="AA45" i="32"/>
  <c r="Y18" i="32"/>
  <c r="AA18" i="32"/>
  <c r="Y64" i="32"/>
  <c r="AA64" i="32"/>
  <c r="Y55" i="32"/>
  <c r="AA55" i="32"/>
  <c r="Y52" i="32"/>
  <c r="AA52" i="32"/>
  <c r="Y50" i="32"/>
  <c r="AA50" i="32"/>
  <c r="Y19" i="32"/>
  <c r="AA19" i="32"/>
  <c r="Y53" i="32"/>
  <c r="AA53" i="32"/>
  <c r="Y41" i="32"/>
  <c r="AA41" i="32"/>
  <c r="Y49" i="32"/>
  <c r="AA49" i="32"/>
  <c r="Y65" i="32"/>
  <c r="AA65" i="32"/>
  <c r="Y38" i="32"/>
  <c r="AA38" i="32"/>
  <c r="Y28" i="32"/>
  <c r="AA28" i="32"/>
  <c r="Y12" i="32"/>
  <c r="AA12" i="32"/>
  <c r="Y26" i="32"/>
  <c r="AA26" i="32"/>
  <c r="Y42" i="32"/>
  <c r="AA42" i="32"/>
  <c r="Y30" i="32"/>
  <c r="AA30" i="32"/>
  <c r="Y66" i="32"/>
  <c r="AA66" i="32"/>
  <c r="Y11" i="32"/>
  <c r="AA11" i="32"/>
  <c r="Y60" i="32"/>
  <c r="AA60" i="32"/>
  <c r="Y51" i="32"/>
  <c r="AA51" i="32"/>
  <c r="Y44" i="32"/>
  <c r="AA44" i="32"/>
  <c r="Y14" i="32"/>
  <c r="AA14" i="32"/>
  <c r="Y32" i="32"/>
  <c r="AA32" i="32"/>
  <c r="Y27" i="32"/>
  <c r="AA27" i="32"/>
  <c r="Y33" i="32"/>
  <c r="AA33" i="32"/>
  <c r="Y15" i="32"/>
  <c r="AA15" i="32"/>
  <c r="Y34" i="32"/>
  <c r="AA34" i="32"/>
  <c r="Y43" i="32"/>
  <c r="AA43" i="32"/>
  <c r="Y58" i="32"/>
  <c r="AA58" i="32"/>
  <c r="M75" i="31"/>
  <c r="M67" i="31"/>
  <c r="AA67" i="33"/>
  <c r="Y27" i="33"/>
  <c r="AA27" i="33"/>
  <c r="Y30" i="33"/>
  <c r="AA30" i="33"/>
  <c r="Y52" i="33"/>
  <c r="AA52" i="33"/>
  <c r="Y58" i="33"/>
  <c r="AA58" i="33"/>
  <c r="Y10" i="33"/>
  <c r="AA10" i="33"/>
  <c r="Y57" i="33"/>
  <c r="AA57" i="33"/>
  <c r="Y61" i="33"/>
  <c r="AA61" i="33"/>
  <c r="Y60" i="33"/>
  <c r="AA60" i="33"/>
  <c r="Y25" i="33"/>
  <c r="AA25" i="33"/>
  <c r="Y18" i="33"/>
  <c r="AA18" i="33"/>
  <c r="Y55" i="33"/>
  <c r="AA55" i="33"/>
  <c r="Y34" i="33"/>
  <c r="AA34" i="33"/>
  <c r="Y28" i="33"/>
  <c r="AA28" i="33"/>
  <c r="Y59" i="33"/>
  <c r="AA59" i="33"/>
  <c r="Y53" i="33"/>
  <c r="AA53" i="33"/>
  <c r="Y66" i="33"/>
  <c r="AA66" i="33"/>
  <c r="Y14" i="33"/>
  <c r="AA14" i="33"/>
  <c r="Y37" i="33"/>
  <c r="AA37" i="33"/>
  <c r="Y31" i="33"/>
  <c r="AA31" i="33"/>
  <c r="Y39" i="33"/>
  <c r="AA39" i="33"/>
  <c r="Y17" i="33"/>
  <c r="AA17" i="33"/>
  <c r="Y64" i="33"/>
  <c r="AA64" i="33"/>
  <c r="Y54" i="33"/>
  <c r="AA54" i="33"/>
  <c r="Y20" i="33"/>
  <c r="AA20" i="33"/>
  <c r="Y24" i="33"/>
  <c r="AA24" i="33"/>
  <c r="Y47" i="33"/>
  <c r="AA47" i="33"/>
  <c r="Y33" i="33"/>
  <c r="AA33" i="33"/>
  <c r="Y43" i="33"/>
  <c r="AA43" i="33"/>
  <c r="Y51" i="33"/>
  <c r="AA51" i="33"/>
  <c r="Y41" i="33"/>
  <c r="AA41" i="33"/>
  <c r="Y65" i="33"/>
  <c r="AA65" i="33"/>
  <c r="Y26" i="33"/>
  <c r="AA26" i="33"/>
  <c r="Y35" i="33"/>
  <c r="AA35" i="33"/>
  <c r="Y49" i="33"/>
  <c r="AA49" i="33"/>
  <c r="Y63" i="33"/>
  <c r="AA63" i="33"/>
  <c r="Y38" i="33"/>
  <c r="AA38" i="33"/>
  <c r="Y13" i="33"/>
  <c r="AA13" i="33"/>
  <c r="Y15" i="33"/>
  <c r="AA15" i="33"/>
  <c r="Y50" i="33"/>
  <c r="AA50" i="33"/>
  <c r="Y11" i="33"/>
  <c r="AA11" i="33"/>
  <c r="Y16" i="33"/>
  <c r="AA16" i="33"/>
  <c r="Y22" i="33"/>
  <c r="AA22" i="33"/>
  <c r="Y44" i="33"/>
  <c r="AA44" i="33"/>
  <c r="Y21" i="33"/>
  <c r="AA21" i="33"/>
  <c r="Y19" i="33"/>
  <c r="AA19" i="33"/>
  <c r="Y56" i="33"/>
  <c r="AA56" i="33"/>
  <c r="Y23" i="33"/>
  <c r="AA23" i="33"/>
  <c r="Y36" i="33"/>
  <c r="AA36" i="33"/>
  <c r="Y40" i="33"/>
  <c r="AA40" i="33"/>
  <c r="Y48" i="33"/>
  <c r="AA48" i="33"/>
  <c r="Y62" i="33"/>
  <c r="AA62" i="33"/>
  <c r="Y42" i="33"/>
  <c r="AA42" i="33"/>
  <c r="Y45" i="33"/>
  <c r="AA45" i="33"/>
  <c r="Y12" i="33"/>
  <c r="AA12" i="33"/>
  <c r="Y46" i="33"/>
  <c r="AA46" i="33"/>
  <c r="Y32" i="33"/>
  <c r="AA32" i="33"/>
  <c r="Y29" i="33"/>
  <c r="AA29" i="33"/>
  <c r="Y80" i="34"/>
  <c r="O55" i="33"/>
  <c r="O46" i="33"/>
  <c r="O30" i="33"/>
  <c r="O43" i="33"/>
  <c r="O15" i="33"/>
  <c r="O37" i="33"/>
  <c r="O50" i="33"/>
  <c r="O53" i="33"/>
  <c r="O44" i="33"/>
  <c r="O28" i="33"/>
  <c r="O35" i="33"/>
  <c r="O13" i="33"/>
  <c r="O21" i="33"/>
  <c r="O29" i="33"/>
  <c r="O51" i="33"/>
  <c r="O42" i="33"/>
  <c r="O26" i="33"/>
  <c r="O27" i="33"/>
  <c r="O11" i="33"/>
  <c r="O10" i="33"/>
  <c r="O12" i="33"/>
  <c r="O14" i="33"/>
  <c r="O16" i="33"/>
  <c r="O17" i="33"/>
  <c r="O18" i="33"/>
  <c r="O19" i="33"/>
  <c r="O20" i="33"/>
  <c r="O22" i="33"/>
  <c r="O23" i="33"/>
  <c r="O24" i="33"/>
  <c r="O25" i="33"/>
  <c r="O31" i="33"/>
  <c r="O32" i="33"/>
  <c r="O33" i="33"/>
  <c r="O34" i="33"/>
  <c r="O36" i="33"/>
  <c r="O38" i="33"/>
  <c r="O39" i="33"/>
  <c r="O40" i="33"/>
  <c r="O41" i="33"/>
  <c r="O45" i="33"/>
  <c r="O47" i="33"/>
  <c r="O48" i="33"/>
  <c r="O49" i="33"/>
  <c r="O52" i="33"/>
  <c r="O54" i="33"/>
  <c r="O56" i="33"/>
  <c r="O57" i="33"/>
  <c r="O58" i="33"/>
  <c r="O59" i="33"/>
  <c r="O60" i="33"/>
  <c r="O61" i="33"/>
  <c r="O62" i="33"/>
  <c r="O63" i="33"/>
  <c r="O64" i="33"/>
  <c r="O65" i="33"/>
  <c r="O66" i="33"/>
  <c r="O80" i="33"/>
  <c r="Y67" i="31"/>
  <c r="O70" i="31"/>
  <c r="AB70" i="31"/>
  <c r="I59" i="31"/>
  <c r="I35" i="31"/>
  <c r="I13" i="31"/>
  <c r="I14" i="31"/>
  <c r="I22" i="31"/>
  <c r="I44" i="31"/>
  <c r="I57" i="31"/>
  <c r="I31" i="31"/>
  <c r="I11" i="31"/>
  <c r="I45" i="31"/>
  <c r="I56" i="31"/>
  <c r="I29" i="31"/>
  <c r="I61" i="31"/>
  <c r="I27" i="31"/>
  <c r="I43" i="31"/>
  <c r="I12" i="31"/>
  <c r="I18" i="31"/>
  <c r="I30" i="31"/>
  <c r="I58" i="31"/>
  <c r="I23" i="31"/>
  <c r="I17" i="31"/>
  <c r="I48" i="31"/>
  <c r="I62" i="31"/>
  <c r="I60" i="31"/>
  <c r="I53" i="31"/>
  <c r="I21" i="31"/>
  <c r="I25" i="31"/>
  <c r="I65" i="31"/>
  <c r="I47" i="31"/>
  <c r="I24" i="31"/>
  <c r="I40" i="31"/>
  <c r="I50" i="31"/>
  <c r="I26" i="31"/>
  <c r="I46" i="31"/>
  <c r="I28" i="31"/>
  <c r="I54" i="31"/>
  <c r="I66" i="31"/>
  <c r="I64" i="31"/>
  <c r="I42" i="31"/>
  <c r="I52" i="31"/>
  <c r="I63" i="31"/>
  <c r="I32" i="31"/>
  <c r="I51" i="31"/>
  <c r="I39" i="31"/>
  <c r="I15" i="31"/>
  <c r="I55" i="31"/>
  <c r="I16" i="31"/>
  <c r="I20" i="31"/>
  <c r="I49" i="31"/>
  <c r="I34" i="31"/>
  <c r="I36" i="31"/>
  <c r="I38" i="31"/>
  <c r="I19" i="31"/>
  <c r="I41" i="31"/>
  <c r="I10" i="31"/>
  <c r="I33" i="31"/>
  <c r="I37" i="31"/>
  <c r="I80" i="31"/>
  <c r="AB74" i="32"/>
  <c r="O70" i="32"/>
  <c r="M56" i="32"/>
  <c r="M58" i="32"/>
  <c r="M38" i="32"/>
  <c r="M42" i="32"/>
  <c r="M10" i="32"/>
  <c r="M11" i="32"/>
  <c r="M12" i="32"/>
  <c r="M13" i="32"/>
  <c r="M14" i="32"/>
  <c r="M15" i="32"/>
  <c r="M16" i="32"/>
  <c r="M17" i="32"/>
  <c r="M18" i="32"/>
  <c r="M19" i="32"/>
  <c r="M20" i="32"/>
  <c r="M21" i="32"/>
  <c r="M22" i="32"/>
  <c r="M23" i="32"/>
  <c r="M24" i="32"/>
  <c r="M25" i="32"/>
  <c r="M26" i="32"/>
  <c r="M27" i="32"/>
  <c r="M28" i="32"/>
  <c r="M29" i="32"/>
  <c r="M30" i="32"/>
  <c r="M31" i="32"/>
  <c r="M32" i="32"/>
  <c r="M33" i="32"/>
  <c r="M34" i="32"/>
  <c r="M35" i="32"/>
  <c r="M36" i="32"/>
  <c r="M37" i="32"/>
  <c r="M39" i="32"/>
  <c r="M40" i="32"/>
  <c r="M41" i="32"/>
  <c r="M43" i="32"/>
  <c r="M44" i="32"/>
  <c r="M45" i="32"/>
  <c r="M46" i="32"/>
  <c r="M47" i="32"/>
  <c r="M48" i="32"/>
  <c r="M49" i="32"/>
  <c r="M50" i="32"/>
  <c r="M51" i="32"/>
  <c r="M52" i="32"/>
  <c r="M53" i="32"/>
  <c r="M54" i="32"/>
  <c r="M55" i="32"/>
  <c r="M57" i="32"/>
  <c r="M59" i="32"/>
  <c r="M60" i="32"/>
  <c r="M61" i="32"/>
  <c r="M62" i="32"/>
  <c r="M63" i="32"/>
  <c r="M64" i="32"/>
  <c r="M65" i="32"/>
  <c r="M66" i="32"/>
  <c r="M80" i="32"/>
  <c r="AA80" i="34"/>
  <c r="G75" i="32"/>
  <c r="G67" i="32"/>
  <c r="AB70" i="33"/>
  <c r="AC76" i="33"/>
  <c r="G75" i="33"/>
  <c r="AB75" i="33"/>
  <c r="G67" i="33"/>
  <c r="AB74" i="31"/>
  <c r="AB75" i="8"/>
  <c r="AB70" i="8"/>
  <c r="AC76" i="8"/>
  <c r="U80" i="8"/>
  <c r="K80" i="8"/>
  <c r="M59" i="8"/>
  <c r="M47" i="8"/>
  <c r="M15" i="8"/>
  <c r="M17" i="8"/>
  <c r="M66" i="8"/>
  <c r="M34" i="8"/>
  <c r="M57" i="8"/>
  <c r="M48" i="8"/>
  <c r="M35" i="8"/>
  <c r="M53" i="8"/>
  <c r="M44" i="8"/>
  <c r="M54" i="8"/>
  <c r="M22" i="8"/>
  <c r="M29" i="8"/>
  <c r="M24" i="8"/>
  <c r="M63" i="8"/>
  <c r="M45" i="8"/>
  <c r="M50" i="8"/>
  <c r="M21" i="8"/>
  <c r="M64" i="8"/>
  <c r="M13" i="8"/>
  <c r="M26" i="8"/>
  <c r="M33" i="8"/>
  <c r="M42" i="8"/>
  <c r="M52" i="8"/>
  <c r="M61" i="8"/>
  <c r="M51" i="8"/>
  <c r="M25" i="8"/>
  <c r="M38" i="8"/>
  <c r="M56" i="8"/>
  <c r="M37" i="8"/>
  <c r="M14" i="8"/>
  <c r="M27" i="8"/>
  <c r="M39" i="8"/>
  <c r="M43" i="8"/>
  <c r="M55" i="8"/>
  <c r="M62" i="8"/>
  <c r="M31" i="8"/>
  <c r="M18" i="8"/>
  <c r="M32" i="8"/>
  <c r="M23" i="8"/>
  <c r="M41" i="8"/>
  <c r="M60" i="8"/>
  <c r="M36" i="8"/>
  <c r="M16" i="8"/>
  <c r="M30" i="8"/>
  <c r="M40" i="8"/>
  <c r="M19" i="8"/>
  <c r="M65" i="8"/>
  <c r="M10" i="8"/>
  <c r="M28" i="8"/>
  <c r="M46" i="8"/>
  <c r="M11" i="8"/>
  <c r="M49" i="8"/>
  <c r="M12" i="8"/>
  <c r="M20" i="8"/>
  <c r="M58" i="8"/>
  <c r="G58" i="8"/>
  <c r="G42" i="8"/>
  <c r="G26" i="8"/>
  <c r="G10" i="8"/>
  <c r="G49" i="8"/>
  <c r="G25" i="8"/>
  <c r="G60" i="8"/>
  <c r="G36" i="8"/>
  <c r="G12" i="8"/>
  <c r="G43" i="8"/>
  <c r="G15" i="8"/>
  <c r="G13" i="8"/>
  <c r="G20" i="8"/>
  <c r="G27" i="8"/>
  <c r="G54" i="8"/>
  <c r="G38" i="8"/>
  <c r="G22" i="8"/>
  <c r="G65" i="8"/>
  <c r="G45" i="8"/>
  <c r="G21" i="8"/>
  <c r="G52" i="8"/>
  <c r="G28" i="8"/>
  <c r="G63" i="8"/>
  <c r="G35" i="8"/>
  <c r="G53" i="8"/>
  <c r="G56" i="8"/>
  <c r="G59" i="8"/>
  <c r="G19" i="8"/>
  <c r="G46" i="8"/>
  <c r="G14" i="8"/>
  <c r="G33" i="8"/>
  <c r="G44" i="8"/>
  <c r="G51" i="8"/>
  <c r="G29" i="8"/>
  <c r="G39" i="8"/>
  <c r="G62" i="8"/>
  <c r="G57" i="8"/>
  <c r="G16" i="8"/>
  <c r="G32" i="8"/>
  <c r="G18" i="8"/>
  <c r="G48" i="8"/>
  <c r="G41" i="8"/>
  <c r="G66" i="8"/>
  <c r="G34" i="8"/>
  <c r="G61" i="8"/>
  <c r="G17" i="8"/>
  <c r="G24" i="8"/>
  <c r="G31" i="8"/>
  <c r="G40" i="8"/>
  <c r="G11" i="8"/>
  <c r="G30" i="8"/>
  <c r="G64" i="8"/>
  <c r="G23" i="8"/>
  <c r="G50" i="8"/>
  <c r="G37" i="8"/>
  <c r="G55" i="8"/>
  <c r="G47" i="8"/>
  <c r="G82" i="8"/>
  <c r="Y67" i="8"/>
  <c r="Y43" i="8"/>
  <c r="AA43" i="8"/>
  <c r="AC76" i="31"/>
  <c r="M61" i="31"/>
  <c r="M37" i="31"/>
  <c r="M49" i="31"/>
  <c r="M41" i="31"/>
  <c r="M16" i="31"/>
  <c r="M57" i="31"/>
  <c r="M33" i="31"/>
  <c r="M63" i="31"/>
  <c r="M17" i="31"/>
  <c r="M12" i="31"/>
  <c r="M11" i="31"/>
  <c r="M22" i="31"/>
  <c r="M55" i="31"/>
  <c r="M32" i="31"/>
  <c r="M34" i="31"/>
  <c r="M53" i="31"/>
  <c r="M29" i="31"/>
  <c r="M25" i="31"/>
  <c r="M54" i="31"/>
  <c r="M56" i="31"/>
  <c r="M36" i="31"/>
  <c r="M46" i="31"/>
  <c r="M38" i="31"/>
  <c r="M42" i="31"/>
  <c r="M47" i="31"/>
  <c r="M48" i="31"/>
  <c r="M26" i="31"/>
  <c r="M21" i="31"/>
  <c r="M40" i="31"/>
  <c r="M13" i="31"/>
  <c r="M45" i="31"/>
  <c r="M64" i="31"/>
  <c r="M28" i="31"/>
  <c r="M18" i="31"/>
  <c r="M51" i="31"/>
  <c r="M30" i="31"/>
  <c r="M15" i="31"/>
  <c r="M20" i="31"/>
  <c r="M62" i="31"/>
  <c r="M58" i="31"/>
  <c r="M35" i="31"/>
  <c r="M27" i="31"/>
  <c r="M66" i="31"/>
  <c r="M23" i="31"/>
  <c r="M44" i="31"/>
  <c r="M31" i="31"/>
  <c r="M24" i="31"/>
  <c r="M19" i="31"/>
  <c r="M43" i="31"/>
  <c r="M52" i="31"/>
  <c r="M59" i="31"/>
  <c r="M10" i="31"/>
  <c r="M65" i="31"/>
  <c r="M60" i="31"/>
  <c r="M50" i="31"/>
  <c r="M14" i="31"/>
  <c r="M39" i="31"/>
  <c r="AA80" i="32"/>
  <c r="O75" i="32"/>
  <c r="O67" i="32"/>
  <c r="AA80" i="33"/>
  <c r="Y34" i="8"/>
  <c r="AA34" i="8"/>
  <c r="AB34" i="8"/>
  <c r="C28" i="27"/>
  <c r="Y39" i="8"/>
  <c r="AA39" i="8"/>
  <c r="AB39" i="8"/>
  <c r="C33" i="27"/>
  <c r="AB80" i="34"/>
  <c r="O67" i="31"/>
  <c r="O75" i="31"/>
  <c r="AB75" i="31"/>
  <c r="AB75" i="32"/>
  <c r="Y30" i="31"/>
  <c r="AA30" i="31"/>
  <c r="Y10" i="31"/>
  <c r="AA10" i="31"/>
  <c r="Y55" i="31"/>
  <c r="AA55" i="31"/>
  <c r="Y48" i="31"/>
  <c r="AA48" i="31"/>
  <c r="Y64" i="31"/>
  <c r="AA64" i="31"/>
  <c r="Y34" i="31"/>
  <c r="AA34" i="31"/>
  <c r="Y43" i="31"/>
  <c r="AA43" i="31"/>
  <c r="Y22" i="31"/>
  <c r="AA22" i="31"/>
  <c r="Y14" i="31"/>
  <c r="AA14" i="31"/>
  <c r="Y16" i="31"/>
  <c r="AA16" i="31"/>
  <c r="Y36" i="31"/>
  <c r="AA36" i="31"/>
  <c r="AA67" i="31"/>
  <c r="Y46" i="31"/>
  <c r="AA46" i="31"/>
  <c r="Y58" i="31"/>
  <c r="AA58" i="31"/>
  <c r="Y25" i="31"/>
  <c r="AA25" i="31"/>
  <c r="Y15" i="31"/>
  <c r="AA15" i="31"/>
  <c r="Y32" i="31"/>
  <c r="AA32" i="31"/>
  <c r="Y52" i="31"/>
  <c r="AA52" i="31"/>
  <c r="Y41" i="31"/>
  <c r="AA41" i="31"/>
  <c r="Y65" i="31"/>
  <c r="AA65" i="31"/>
  <c r="Y56" i="31"/>
  <c r="AA56" i="31"/>
  <c r="Y35" i="31"/>
  <c r="AA35" i="31"/>
  <c r="Y13" i="31"/>
  <c r="AA13" i="31"/>
  <c r="Y50" i="31"/>
  <c r="AA50" i="31"/>
  <c r="Y62" i="31"/>
  <c r="AA62" i="31"/>
  <c r="Y63" i="31"/>
  <c r="AA63" i="31"/>
  <c r="Y33" i="31"/>
  <c r="AA33" i="31"/>
  <c r="Y23" i="31"/>
  <c r="AA23" i="31"/>
  <c r="Y38" i="31"/>
  <c r="AA38" i="31"/>
  <c r="Y18" i="31"/>
  <c r="AA18" i="31"/>
  <c r="Y26" i="31"/>
  <c r="AA26" i="31"/>
  <c r="Y42" i="31"/>
  <c r="AA42" i="31"/>
  <c r="Y27" i="31"/>
  <c r="AA27" i="31"/>
  <c r="Y28" i="31"/>
  <c r="AA28" i="31"/>
  <c r="Y47" i="31"/>
  <c r="AA47" i="31"/>
  <c r="Y49" i="31"/>
  <c r="AA49" i="31"/>
  <c r="Y21" i="31"/>
  <c r="AA21" i="31"/>
  <c r="Y20" i="31"/>
  <c r="AA20" i="31"/>
  <c r="Y61" i="31"/>
  <c r="AA61" i="31"/>
  <c r="Y39" i="31"/>
  <c r="AA39" i="31"/>
  <c r="Y12" i="31"/>
  <c r="AA12" i="31"/>
  <c r="Y66" i="31"/>
  <c r="AA66" i="31"/>
  <c r="Y57" i="31"/>
  <c r="AA57" i="31"/>
  <c r="Y44" i="31"/>
  <c r="AA44" i="31"/>
  <c r="Y59" i="31"/>
  <c r="AA59" i="31"/>
  <c r="Y54" i="31"/>
  <c r="AA54" i="31"/>
  <c r="Y31" i="31"/>
  <c r="AA31" i="31"/>
  <c r="Y19" i="31"/>
  <c r="AA19" i="31"/>
  <c r="Y40" i="31"/>
  <c r="AA40" i="31"/>
  <c r="Y29" i="31"/>
  <c r="AA29" i="31"/>
  <c r="Y60" i="31"/>
  <c r="AA60" i="31"/>
  <c r="Y24" i="31"/>
  <c r="AA24" i="31"/>
  <c r="Y45" i="31"/>
  <c r="AA45" i="31"/>
  <c r="Y53" i="31"/>
  <c r="AA53" i="31"/>
  <c r="Y37" i="31"/>
  <c r="AA37" i="31"/>
  <c r="Y11" i="31"/>
  <c r="AA11" i="31"/>
  <c r="Y17" i="31"/>
  <c r="AA17" i="31"/>
  <c r="Y51" i="31"/>
  <c r="AA51" i="31"/>
  <c r="Y80" i="31"/>
  <c r="AB67" i="31"/>
  <c r="AC70" i="31"/>
  <c r="AD75" i="31"/>
  <c r="G65" i="33"/>
  <c r="AB65" i="33"/>
  <c r="F59" i="27"/>
  <c r="G51" i="33"/>
  <c r="AB51" i="33"/>
  <c r="F45" i="27"/>
  <c r="G40" i="33"/>
  <c r="AB40" i="33"/>
  <c r="F34" i="27"/>
  <c r="G24" i="33"/>
  <c r="AB24" i="33"/>
  <c r="F18" i="27"/>
  <c r="G33" i="33"/>
  <c r="AB33" i="33"/>
  <c r="F27" i="27"/>
  <c r="G15" i="33"/>
  <c r="AB15" i="33"/>
  <c r="F9" i="27"/>
  <c r="G29" i="33"/>
  <c r="AB29" i="33"/>
  <c r="F23" i="27"/>
  <c r="G16" i="33"/>
  <c r="AB16" i="33"/>
  <c r="F10" i="27"/>
  <c r="G63" i="33"/>
  <c r="AB63" i="33"/>
  <c r="F57" i="27"/>
  <c r="G49" i="33"/>
  <c r="AB49" i="33"/>
  <c r="F43" i="27"/>
  <c r="G38" i="33"/>
  <c r="AB38" i="33"/>
  <c r="F32" i="27"/>
  <c r="G22" i="33"/>
  <c r="AB22" i="33"/>
  <c r="F16" i="27"/>
  <c r="G56" i="33"/>
  <c r="AB56" i="33"/>
  <c r="F50" i="27"/>
  <c r="G13" i="33"/>
  <c r="AB13" i="33"/>
  <c r="F7" i="27"/>
  <c r="G27" i="33"/>
  <c r="AB27" i="33"/>
  <c r="F21" i="27"/>
  <c r="G12" i="33"/>
  <c r="AB12" i="33"/>
  <c r="F6" i="27"/>
  <c r="G62" i="33"/>
  <c r="AB62" i="33"/>
  <c r="F56" i="27"/>
  <c r="G36" i="33"/>
  <c r="AB36" i="33"/>
  <c r="F30" i="27"/>
  <c r="G20" i="33"/>
  <c r="AB20" i="33"/>
  <c r="F14" i="27"/>
  <c r="G54" i="33"/>
  <c r="AB54" i="33"/>
  <c r="F48" i="27"/>
  <c r="G11" i="33"/>
  <c r="AB11" i="33"/>
  <c r="F5" i="27"/>
  <c r="G14" i="33"/>
  <c r="AB14" i="33"/>
  <c r="F8" i="27"/>
  <c r="G64" i="33"/>
  <c r="AB64" i="33"/>
  <c r="F58" i="27"/>
  <c r="G61" i="33"/>
  <c r="AB61" i="33"/>
  <c r="F55" i="27"/>
  <c r="G44" i="33"/>
  <c r="AB44" i="33"/>
  <c r="F38" i="27"/>
  <c r="G66" i="33"/>
  <c r="AB66" i="33"/>
  <c r="F60" i="27"/>
  <c r="G23" i="33"/>
  <c r="AB23" i="33"/>
  <c r="F17" i="27"/>
  <c r="G19" i="33"/>
  <c r="AB19" i="33"/>
  <c r="F13" i="27"/>
  <c r="G55" i="33"/>
  <c r="AB55" i="33"/>
  <c r="F49" i="27"/>
  <c r="G43" i="33"/>
  <c r="AB43" i="33"/>
  <c r="F37" i="27"/>
  <c r="G59" i="33"/>
  <c r="AB59" i="33"/>
  <c r="F53" i="27"/>
  <c r="G42" i="33"/>
  <c r="AB42" i="33"/>
  <c r="F36" i="27"/>
  <c r="G50" i="33"/>
  <c r="AB50" i="33"/>
  <c r="F44" i="27"/>
  <c r="G45" i="33"/>
  <c r="AB45" i="33"/>
  <c r="F39" i="27"/>
  <c r="G25" i="33"/>
  <c r="AB25" i="33"/>
  <c r="F19" i="27"/>
  <c r="G32" i="33"/>
  <c r="AB32" i="33"/>
  <c r="F26" i="27"/>
  <c r="G58" i="33"/>
  <c r="AB58" i="33"/>
  <c r="F52" i="27"/>
  <c r="G57" i="33"/>
  <c r="AB57" i="33"/>
  <c r="F51" i="27"/>
  <c r="G34" i="33"/>
  <c r="AB34" i="33"/>
  <c r="F28" i="27"/>
  <c r="G48" i="33"/>
  <c r="AB48" i="33"/>
  <c r="F42" i="27"/>
  <c r="G17" i="33"/>
  <c r="AB17" i="33"/>
  <c r="F11" i="27"/>
  <c r="G41" i="33"/>
  <c r="AB41" i="33"/>
  <c r="F35" i="27"/>
  <c r="G26" i="33"/>
  <c r="AB26" i="33"/>
  <c r="F20" i="27"/>
  <c r="G10" i="33"/>
  <c r="AB10" i="33"/>
  <c r="F4" i="27"/>
  <c r="G18" i="33"/>
  <c r="AB18" i="33"/>
  <c r="F12" i="27"/>
  <c r="G21" i="33"/>
  <c r="AB21" i="33"/>
  <c r="F15" i="27"/>
  <c r="G47" i="33"/>
  <c r="AB47" i="33"/>
  <c r="F41" i="27"/>
  <c r="G39" i="33"/>
  <c r="AB39" i="33"/>
  <c r="F33" i="27"/>
  <c r="G53" i="33"/>
  <c r="AB53" i="33"/>
  <c r="F47" i="27"/>
  <c r="G28" i="33"/>
  <c r="AB28" i="33"/>
  <c r="F22" i="27"/>
  <c r="G35" i="33"/>
  <c r="AB35" i="33"/>
  <c r="F29" i="27"/>
  <c r="G60" i="33"/>
  <c r="AB60" i="33"/>
  <c r="F54" i="27"/>
  <c r="G52" i="33"/>
  <c r="AB52" i="33"/>
  <c r="F46" i="27"/>
  <c r="G30" i="33"/>
  <c r="AB30" i="33"/>
  <c r="F24" i="27"/>
  <c r="G37" i="33"/>
  <c r="AB37" i="33"/>
  <c r="F31" i="27"/>
  <c r="G31" i="33"/>
  <c r="AB31" i="33"/>
  <c r="F25" i="27"/>
  <c r="G46" i="33"/>
  <c r="AB46" i="33"/>
  <c r="F40" i="27"/>
  <c r="AB67" i="33"/>
  <c r="Y57" i="8"/>
  <c r="AA57" i="8"/>
  <c r="AB57" i="8"/>
  <c r="C51" i="27"/>
  <c r="AB70" i="32"/>
  <c r="AC76" i="32"/>
  <c r="Y80" i="32"/>
  <c r="G57" i="32"/>
  <c r="G44" i="32"/>
  <c r="G28" i="32"/>
  <c r="G48" i="32"/>
  <c r="G31" i="32"/>
  <c r="G12" i="32"/>
  <c r="G55" i="32"/>
  <c r="G42" i="32"/>
  <c r="G26" i="32"/>
  <c r="G41" i="32"/>
  <c r="G23" i="32"/>
  <c r="G64" i="32"/>
  <c r="G53" i="32"/>
  <c r="G40" i="32"/>
  <c r="G24" i="32"/>
  <c r="G33" i="32"/>
  <c r="G15" i="32"/>
  <c r="G45" i="32"/>
  <c r="G61" i="32"/>
  <c r="G36" i="32"/>
  <c r="G50" i="32"/>
  <c r="G25" i="32"/>
  <c r="G62" i="32"/>
  <c r="G54" i="32"/>
  <c r="G59" i="32"/>
  <c r="G34" i="32"/>
  <c r="G58" i="32"/>
  <c r="G17" i="32"/>
  <c r="G14" i="32"/>
  <c r="G49" i="32"/>
  <c r="G43" i="32"/>
  <c r="G51" i="32"/>
  <c r="G32" i="32"/>
  <c r="G56" i="32"/>
  <c r="G16" i="32"/>
  <c r="G10" i="32"/>
  <c r="G30" i="32"/>
  <c r="G21" i="32"/>
  <c r="G46" i="32"/>
  <c r="G13" i="32"/>
  <c r="G29" i="32"/>
  <c r="G38" i="32"/>
  <c r="G11" i="32"/>
  <c r="G18" i="32"/>
  <c r="G22" i="32"/>
  <c r="G37" i="32"/>
  <c r="G20" i="32"/>
  <c r="G52" i="32"/>
  <c r="G39" i="32"/>
  <c r="G35" i="32"/>
  <c r="G65" i="32"/>
  <c r="G60" i="32"/>
  <c r="G66" i="32"/>
  <c r="G27" i="32"/>
  <c r="G47" i="32"/>
  <c r="G19" i="32"/>
  <c r="G63" i="32"/>
  <c r="AB67" i="32"/>
  <c r="Y80" i="33"/>
  <c r="Y25" i="8"/>
  <c r="AA25" i="8"/>
  <c r="AB25" i="8"/>
  <c r="C19" i="27"/>
  <c r="Y10" i="8"/>
  <c r="AA10" i="8"/>
  <c r="AB10" i="8"/>
  <c r="C4" i="27"/>
  <c r="Y46" i="8"/>
  <c r="AA46" i="8"/>
  <c r="AB46" i="8"/>
  <c r="C40" i="27"/>
  <c r="Y15" i="8"/>
  <c r="AA15" i="8"/>
  <c r="AB15" i="8"/>
  <c r="C9" i="27"/>
  <c r="Y45" i="8"/>
  <c r="AA45" i="8"/>
  <c r="AB45" i="8"/>
  <c r="C39" i="27"/>
  <c r="Y22" i="8"/>
  <c r="AA22" i="8"/>
  <c r="Y11" i="8"/>
  <c r="AA11" i="8"/>
  <c r="Y52" i="8"/>
  <c r="AA52" i="8"/>
  <c r="AB52" i="8"/>
  <c r="C46" i="27"/>
  <c r="AB22" i="8"/>
  <c r="C16" i="27"/>
  <c r="M80" i="8"/>
  <c r="C85" i="24"/>
  <c r="AB43" i="8"/>
  <c r="C37" i="27"/>
  <c r="AB11" i="8"/>
  <c r="C5" i="27"/>
  <c r="Y48" i="8"/>
  <c r="AA48" i="8"/>
  <c r="AB48" i="8"/>
  <c r="C42" i="27"/>
  <c r="Y13" i="8"/>
  <c r="AA13" i="8"/>
  <c r="AB13" i="8"/>
  <c r="C7" i="27"/>
  <c r="Y63" i="8"/>
  <c r="AA63" i="8"/>
  <c r="AB63" i="8"/>
  <c r="C57" i="27"/>
  <c r="Y32" i="8"/>
  <c r="AA32" i="8"/>
  <c r="AB32" i="8"/>
  <c r="C26" i="27"/>
  <c r="Y28" i="8"/>
  <c r="AA28" i="8"/>
  <c r="AB28" i="8"/>
  <c r="C22" i="27"/>
  <c r="Y54" i="8"/>
  <c r="AA54" i="8"/>
  <c r="AB54" i="8"/>
  <c r="C48" i="27"/>
  <c r="Y40" i="8"/>
  <c r="AA40" i="8"/>
  <c r="AB40" i="8"/>
  <c r="C34" i="27"/>
  <c r="Y51" i="8"/>
  <c r="AA51" i="8"/>
  <c r="AB51" i="8"/>
  <c r="C45" i="27"/>
  <c r="Y42" i="8"/>
  <c r="AA42" i="8"/>
  <c r="AB42" i="8"/>
  <c r="C36" i="27"/>
  <c r="Y16" i="8"/>
  <c r="AA16" i="8"/>
  <c r="AB16" i="8"/>
  <c r="C10" i="27"/>
  <c r="Y59" i="8"/>
  <c r="AA59" i="8"/>
  <c r="AB59" i="8"/>
  <c r="C53" i="27"/>
  <c r="Y14" i="8"/>
  <c r="AA14" i="8"/>
  <c r="AB14" i="8"/>
  <c r="C8" i="27"/>
  <c r="Y49" i="8"/>
  <c r="AA49" i="8"/>
  <c r="AB49" i="8"/>
  <c r="C43" i="27"/>
  <c r="Y19" i="8"/>
  <c r="AA19" i="8"/>
  <c r="AB19" i="8"/>
  <c r="C13" i="27"/>
  <c r="AA67" i="8"/>
  <c r="Y65" i="8"/>
  <c r="AA65" i="8"/>
  <c r="AB65" i="8"/>
  <c r="C59" i="27"/>
  <c r="Y37" i="8"/>
  <c r="AA37" i="8"/>
  <c r="AB37" i="8"/>
  <c r="C31" i="27"/>
  <c r="Y64" i="8"/>
  <c r="AA64" i="8"/>
  <c r="AB64" i="8"/>
  <c r="C58" i="27"/>
  <c r="Y38" i="8"/>
  <c r="AA38" i="8"/>
  <c r="AB38" i="8"/>
  <c r="C32" i="27"/>
  <c r="Y17" i="8"/>
  <c r="AA17" i="8"/>
  <c r="AB17" i="8"/>
  <c r="C11" i="27"/>
  <c r="Y24" i="8"/>
  <c r="AA24" i="8"/>
  <c r="AB24" i="8"/>
  <c r="C18" i="27"/>
  <c r="Y41" i="8"/>
  <c r="AA41" i="8"/>
  <c r="AB41" i="8"/>
  <c r="C35" i="27"/>
  <c r="Y36" i="8"/>
  <c r="AA36" i="8"/>
  <c r="AB36" i="8"/>
  <c r="C30" i="27"/>
  <c r="Y27" i="8"/>
  <c r="AA27" i="8"/>
  <c r="AB27" i="8"/>
  <c r="C21" i="27"/>
  <c r="Y23" i="8"/>
  <c r="AA23" i="8"/>
  <c r="AB23" i="8"/>
  <c r="C17" i="27"/>
  <c r="Y58" i="8"/>
  <c r="AA58" i="8"/>
  <c r="AB58" i="8"/>
  <c r="C52" i="27"/>
  <c r="Y26" i="8"/>
  <c r="AA26" i="8"/>
  <c r="AB26" i="8"/>
  <c r="C20" i="27"/>
  <c r="Y56" i="8"/>
  <c r="AA56" i="8"/>
  <c r="AB56" i="8"/>
  <c r="C50" i="27"/>
  <c r="Y61" i="8"/>
  <c r="AA61" i="8"/>
  <c r="AB61" i="8"/>
  <c r="C55" i="27"/>
  <c r="Y29" i="8"/>
  <c r="AA29" i="8"/>
  <c r="AB29" i="8"/>
  <c r="C23" i="27"/>
  <c r="Y12" i="8"/>
  <c r="AA12" i="8"/>
  <c r="AB12" i="8"/>
  <c r="C6" i="27"/>
  <c r="Y31" i="8"/>
  <c r="AA31" i="8"/>
  <c r="AB31" i="8"/>
  <c r="C25" i="27"/>
  <c r="Y62" i="8"/>
  <c r="AA62" i="8"/>
  <c r="AB62" i="8"/>
  <c r="C56" i="27"/>
  <c r="Y30" i="8"/>
  <c r="AA30" i="8"/>
  <c r="AB30" i="8"/>
  <c r="C24" i="27"/>
  <c r="Y60" i="8"/>
  <c r="AA60" i="8"/>
  <c r="AB60" i="8"/>
  <c r="C54" i="27"/>
  <c r="Y66" i="8"/>
  <c r="AA66" i="8"/>
  <c r="AB66" i="8"/>
  <c r="Y33" i="8"/>
  <c r="AA33" i="8"/>
  <c r="AB33" i="8"/>
  <c r="C27" i="27"/>
  <c r="Y20" i="8"/>
  <c r="AA20" i="8"/>
  <c r="AB20" i="8"/>
  <c r="C14" i="27"/>
  <c r="Y47" i="8"/>
  <c r="AA47" i="8"/>
  <c r="AB47" i="8"/>
  <c r="C41" i="27"/>
  <c r="Y55" i="8"/>
  <c r="AA55" i="8"/>
  <c r="AB55" i="8"/>
  <c r="C49" i="27"/>
  <c r="Y50" i="8"/>
  <c r="AA50" i="8"/>
  <c r="AB50" i="8"/>
  <c r="C44" i="27"/>
  <c r="Y18" i="8"/>
  <c r="AA18" i="8"/>
  <c r="AB18" i="8"/>
  <c r="C12" i="27"/>
  <c r="Y44" i="8"/>
  <c r="AA44" i="8"/>
  <c r="AB44" i="8"/>
  <c r="C38" i="27"/>
  <c r="Y53" i="8"/>
  <c r="AA53" i="8"/>
  <c r="AB53" i="8"/>
  <c r="C47" i="27"/>
  <c r="Y21" i="8"/>
  <c r="AA21" i="8"/>
  <c r="AB21" i="8"/>
  <c r="C15" i="27"/>
  <c r="Y35" i="8"/>
  <c r="AA35" i="8"/>
  <c r="AB35" i="8"/>
  <c r="C29" i="27"/>
  <c r="AB67" i="8"/>
  <c r="O65" i="31"/>
  <c r="AB65" i="31"/>
  <c r="D59" i="27"/>
  <c r="O55" i="31"/>
  <c r="AB55" i="31"/>
  <c r="D49" i="27"/>
  <c r="O64" i="31"/>
  <c r="AB64" i="31"/>
  <c r="D58" i="27"/>
  <c r="O42" i="31"/>
  <c r="AB42" i="31"/>
  <c r="D36" i="27"/>
  <c r="O37" i="32"/>
  <c r="AB37" i="32"/>
  <c r="E31" i="27"/>
  <c r="O25" i="32"/>
  <c r="AB25" i="32"/>
  <c r="E19" i="27"/>
  <c r="O33" i="31"/>
  <c r="AB33" i="31"/>
  <c r="D27" i="27"/>
  <c r="O22" i="32"/>
  <c r="AB22" i="32"/>
  <c r="E16" i="27"/>
  <c r="O19" i="32"/>
  <c r="AB19" i="32"/>
  <c r="E13" i="27"/>
  <c r="O13" i="32"/>
  <c r="AB13" i="32"/>
  <c r="E7" i="27"/>
  <c r="AA80" i="31"/>
  <c r="O51" i="31"/>
  <c r="O27" i="31"/>
  <c r="AB27" i="31"/>
  <c r="D21" i="27"/>
  <c r="O22" i="31"/>
  <c r="O16" i="31"/>
  <c r="AB16" i="31"/>
  <c r="D10" i="27"/>
  <c r="O35" i="31"/>
  <c r="O15" i="31"/>
  <c r="O25" i="31"/>
  <c r="AB25" i="31"/>
  <c r="D19" i="27"/>
  <c r="O17" i="31"/>
  <c r="AB17" i="31"/>
  <c r="D11" i="27"/>
  <c r="O63" i="31"/>
  <c r="AB63" i="31"/>
  <c r="D57" i="27"/>
  <c r="O32" i="31"/>
  <c r="AB32" i="31"/>
  <c r="D26" i="27"/>
  <c r="O41" i="31"/>
  <c r="AB41" i="31"/>
  <c r="D35" i="27"/>
  <c r="O60" i="31"/>
  <c r="AB60" i="31"/>
  <c r="D54" i="27"/>
  <c r="O57" i="31"/>
  <c r="AB57" i="31"/>
  <c r="D51" i="27"/>
  <c r="O21" i="31"/>
  <c r="O34" i="31"/>
  <c r="AB34" i="31"/>
  <c r="D28" i="27"/>
  <c r="O20" i="31"/>
  <c r="AB20" i="31"/>
  <c r="D14" i="27"/>
  <c r="O53" i="31"/>
  <c r="O58" i="31"/>
  <c r="AB58" i="31"/>
  <c r="D52" i="27"/>
  <c r="O49" i="31"/>
  <c r="O19" i="31"/>
  <c r="AB19" i="31"/>
  <c r="D13" i="27"/>
  <c r="O61" i="31"/>
  <c r="AB61" i="31"/>
  <c r="D55" i="27"/>
  <c r="O56" i="31"/>
  <c r="O46" i="31"/>
  <c r="AB46" i="31"/>
  <c r="D40" i="27"/>
  <c r="O10" i="31"/>
  <c r="O37" i="31"/>
  <c r="AB37" i="31"/>
  <c r="D31" i="27"/>
  <c r="O12" i="31"/>
  <c r="AB12" i="31"/>
  <c r="D6" i="27"/>
  <c r="O48" i="31"/>
  <c r="AB48" i="31"/>
  <c r="D42" i="27"/>
  <c r="O29" i="31"/>
  <c r="AB29" i="31"/>
  <c r="D23" i="27"/>
  <c r="O36" i="31"/>
  <c r="O47" i="31"/>
  <c r="AB47" i="31"/>
  <c r="D41" i="27"/>
  <c r="O11" i="31"/>
  <c r="O13" i="31"/>
  <c r="O14" i="31"/>
  <c r="O18" i="31"/>
  <c r="O23" i="31"/>
  <c r="O24" i="31"/>
  <c r="O26" i="31"/>
  <c r="O28" i="31"/>
  <c r="O30" i="31"/>
  <c r="O31" i="31"/>
  <c r="O38" i="31"/>
  <c r="O39" i="31"/>
  <c r="O40" i="31"/>
  <c r="O43" i="31"/>
  <c r="O44" i="31"/>
  <c r="O45" i="31"/>
  <c r="O50" i="31"/>
  <c r="O52" i="31"/>
  <c r="O54" i="31"/>
  <c r="O59" i="31"/>
  <c r="O62" i="31"/>
  <c r="O66" i="31"/>
  <c r="O80" i="31"/>
  <c r="AB38" i="31"/>
  <c r="D32" i="27"/>
  <c r="AB44" i="31"/>
  <c r="D38" i="27"/>
  <c r="AB30" i="31"/>
  <c r="D24" i="27"/>
  <c r="AB40" i="31"/>
  <c r="D34" i="27"/>
  <c r="AB39" i="31"/>
  <c r="D33" i="27"/>
  <c r="AB50" i="31"/>
  <c r="D44" i="27"/>
  <c r="AB26" i="31"/>
  <c r="D20" i="27"/>
  <c r="AB59" i="31"/>
  <c r="D53" i="27"/>
  <c r="AB31" i="31"/>
  <c r="D25" i="27"/>
  <c r="AB43" i="31"/>
  <c r="D37" i="27"/>
  <c r="AB14" i="31"/>
  <c r="D8" i="27"/>
  <c r="AB62" i="31"/>
  <c r="D56" i="27"/>
  <c r="AB35" i="31"/>
  <c r="D29" i="27"/>
  <c r="AB28" i="31"/>
  <c r="D22" i="27"/>
  <c r="O20" i="32"/>
  <c r="AB20" i="32"/>
  <c r="E14" i="27"/>
  <c r="AB53" i="31"/>
  <c r="D47" i="27"/>
  <c r="O12" i="32"/>
  <c r="AB12" i="32"/>
  <c r="E6" i="27"/>
  <c r="AB24" i="31"/>
  <c r="D18" i="27"/>
  <c r="AB15" i="31"/>
  <c r="D9" i="27"/>
  <c r="AB36" i="31"/>
  <c r="D30" i="27"/>
  <c r="O65" i="32"/>
  <c r="AB65" i="32"/>
  <c r="E59" i="27"/>
  <c r="O11" i="32"/>
  <c r="AB11" i="32"/>
  <c r="E5" i="27"/>
  <c r="O16" i="32"/>
  <c r="AB16" i="32"/>
  <c r="E10" i="27"/>
  <c r="O58" i="32"/>
  <c r="AB58" i="32"/>
  <c r="E52" i="27"/>
  <c r="O23" i="32"/>
  <c r="AB23" i="32"/>
  <c r="E17" i="27"/>
  <c r="O49" i="32"/>
  <c r="O38" i="32"/>
  <c r="AB38" i="32"/>
  <c r="E32" i="27"/>
  <c r="O50" i="32"/>
  <c r="AB50" i="32"/>
  <c r="E44" i="27"/>
  <c r="O10" i="32"/>
  <c r="O14" i="32"/>
  <c r="O15" i="32"/>
  <c r="O17" i="32"/>
  <c r="O18" i="32"/>
  <c r="O21" i="32"/>
  <c r="O24" i="32"/>
  <c r="O26" i="32"/>
  <c r="O27" i="32"/>
  <c r="O28" i="32"/>
  <c r="O29" i="32"/>
  <c r="O30" i="32"/>
  <c r="O31" i="32"/>
  <c r="O32" i="32"/>
  <c r="O33" i="32"/>
  <c r="O34" i="32"/>
  <c r="O35" i="32"/>
  <c r="O36" i="32"/>
  <c r="O39" i="32"/>
  <c r="O40" i="32"/>
  <c r="O41" i="32"/>
  <c r="O42" i="32"/>
  <c r="O43" i="32"/>
  <c r="O44" i="32"/>
  <c r="O45" i="32"/>
  <c r="O46" i="32"/>
  <c r="O47" i="32"/>
  <c r="O48" i="32"/>
  <c r="O51" i="32"/>
  <c r="O52" i="32"/>
  <c r="O53" i="32"/>
  <c r="O54" i="32"/>
  <c r="O55" i="32"/>
  <c r="O56" i="32"/>
  <c r="O57" i="32"/>
  <c r="O59" i="32"/>
  <c r="O60" i="32"/>
  <c r="O61" i="32"/>
  <c r="O62" i="32"/>
  <c r="O63" i="32"/>
  <c r="O64" i="32"/>
  <c r="O66" i="32"/>
  <c r="O80" i="32"/>
  <c r="AB63" i="32"/>
  <c r="E57" i="27"/>
  <c r="AB64" i="32"/>
  <c r="E58" i="27"/>
  <c r="AB36" i="32"/>
  <c r="E30" i="27"/>
  <c r="AB17" i="32"/>
  <c r="E11" i="27"/>
  <c r="AB61" i="32"/>
  <c r="E55" i="27"/>
  <c r="AB62" i="32"/>
  <c r="E56" i="27"/>
  <c r="AB34" i="32"/>
  <c r="E28" i="27"/>
  <c r="AB52" i="32"/>
  <c r="E46" i="27"/>
  <c r="AB24" i="32"/>
  <c r="E18" i="27"/>
  <c r="AB29" i="32"/>
  <c r="E23" i="27"/>
  <c r="AB40" i="32"/>
  <c r="E34" i="27"/>
  <c r="AB31" i="32"/>
  <c r="E25" i="27"/>
  <c r="AB44" i="32"/>
  <c r="E38" i="27"/>
  <c r="AB66" i="32"/>
  <c r="AB47" i="32"/>
  <c r="E41" i="27"/>
  <c r="AB35" i="32"/>
  <c r="E29" i="27"/>
  <c r="AB59" i="32"/>
  <c r="E53" i="27"/>
  <c r="AB42" i="32"/>
  <c r="E36" i="27"/>
  <c r="AB60" i="32"/>
  <c r="E54" i="27"/>
  <c r="AB57" i="32"/>
  <c r="E51" i="27"/>
  <c r="AB27" i="32"/>
  <c r="E21" i="27"/>
  <c r="AB41" i="32"/>
  <c r="E35" i="27"/>
  <c r="AB14" i="32"/>
  <c r="E8" i="27"/>
  <c r="AB53" i="32"/>
  <c r="E47" i="27"/>
  <c r="AB33" i="32"/>
  <c r="E27" i="27"/>
  <c r="AB51" i="32"/>
  <c r="E45" i="27"/>
  <c r="AB54" i="32"/>
  <c r="E48" i="27"/>
  <c r="AB30" i="32"/>
  <c r="E24" i="27"/>
  <c r="AB32" i="32"/>
  <c r="E26" i="27"/>
  <c r="AB21" i="32"/>
  <c r="E15" i="27"/>
  <c r="AB28" i="32"/>
  <c r="E22" i="27"/>
  <c r="M80" i="31"/>
  <c r="AB10" i="31"/>
  <c r="AB23" i="31"/>
  <c r="D17" i="27"/>
  <c r="AB21" i="31"/>
  <c r="D15" i="27"/>
  <c r="AB56" i="31"/>
  <c r="D50" i="27"/>
  <c r="AB22" i="31"/>
  <c r="D16" i="27"/>
  <c r="AB46" i="32"/>
  <c r="E40" i="27"/>
  <c r="AB49" i="32"/>
  <c r="E43" i="27"/>
  <c r="F61" i="27"/>
  <c r="F64" i="27"/>
  <c r="F79" i="27"/>
  <c r="F81" i="27"/>
  <c r="AB13" i="31"/>
  <c r="D7" i="27"/>
  <c r="AB18" i="32"/>
  <c r="E12" i="27"/>
  <c r="AB48" i="32"/>
  <c r="E42" i="27"/>
  <c r="AC70" i="32"/>
  <c r="AD75" i="32"/>
  <c r="AB56" i="32"/>
  <c r="E50" i="27"/>
  <c r="AB45" i="32"/>
  <c r="E39" i="27"/>
  <c r="AB66" i="31"/>
  <c r="D60" i="27"/>
  <c r="AB51" i="31"/>
  <c r="D45" i="27"/>
  <c r="AB54" i="31"/>
  <c r="D48" i="27"/>
  <c r="AB49" i="31"/>
  <c r="D43" i="27"/>
  <c r="AB43" i="32"/>
  <c r="E37" i="27"/>
  <c r="AB55" i="32"/>
  <c r="E49" i="27"/>
  <c r="AB45" i="31"/>
  <c r="D39" i="27"/>
  <c r="AB10" i="32"/>
  <c r="E4" i="27"/>
  <c r="AC70" i="33"/>
  <c r="AD75" i="33"/>
  <c r="AB80" i="33"/>
  <c r="AB39" i="32"/>
  <c r="E33" i="27"/>
  <c r="AB15" i="32"/>
  <c r="E9" i="27"/>
  <c r="AB26" i="32"/>
  <c r="E20" i="27"/>
  <c r="AB52" i="31"/>
  <c r="D46" i="27"/>
  <c r="AB18" i="31"/>
  <c r="D12" i="27"/>
  <c r="C61" i="27"/>
  <c r="C64" i="27"/>
  <c r="C79" i="27"/>
  <c r="C81" i="27"/>
  <c r="Y80" i="8"/>
  <c r="AA80" i="8"/>
  <c r="AC70" i="8"/>
  <c r="AD75" i="8"/>
  <c r="AB80" i="8"/>
  <c r="AB11" i="31"/>
  <c r="D5" i="27"/>
  <c r="E61" i="27"/>
  <c r="E64" i="27"/>
  <c r="E79" i="27"/>
  <c r="E81" i="27"/>
  <c r="D4" i="27"/>
  <c r="D61" i="27"/>
  <c r="D64" i="27"/>
  <c r="D79" i="27"/>
  <c r="D81" i="27"/>
  <c r="AB80" i="31"/>
  <c r="AB80" i="32"/>
</calcChain>
</file>

<file path=xl/sharedStrings.xml><?xml version="1.0" encoding="utf-8"?>
<sst xmlns="http://schemas.openxmlformats.org/spreadsheetml/2006/main" count="1163" uniqueCount="255">
  <si>
    <t>Transit Oriented Development (Discretionary Pilot)</t>
  </si>
  <si>
    <t>Metropolitan Transportation Planning</t>
  </si>
  <si>
    <t>Planning Programs</t>
  </si>
  <si>
    <t>Statewide Transportation Planning</t>
  </si>
  <si>
    <t>Urbanized Area Formula Grants</t>
  </si>
  <si>
    <t>Passenger Ferry Boat Program</t>
  </si>
  <si>
    <t>Operational Support Of State Safety Oversight</t>
  </si>
  <si>
    <t>Enhanced Mobility of Seniors and Individuals with Disabilities</t>
  </si>
  <si>
    <t>Formula Grants for Rural Areas</t>
  </si>
  <si>
    <t>Rural Tranportation Assistance Program</t>
  </si>
  <si>
    <t xml:space="preserve">Appalachian Development Public Transportation Assistance Program </t>
  </si>
  <si>
    <t>Bus Testing Facility</t>
  </si>
  <si>
    <t>National Transit Database</t>
  </si>
  <si>
    <t>State of Good Repair Grants</t>
  </si>
  <si>
    <t>High Intensity Fixed Guideway Formula</t>
  </si>
  <si>
    <t xml:space="preserve">High Intensity Motorbus State of Good Repair </t>
  </si>
  <si>
    <t xml:space="preserve">Bus and Bus Facilities Grants </t>
  </si>
  <si>
    <t>High Density State Apportionments</t>
  </si>
  <si>
    <t xml:space="preserve">Growing State Apportionments </t>
  </si>
  <si>
    <t>Administrative Expenses</t>
  </si>
  <si>
    <t>Capital Investment Grants</t>
  </si>
  <si>
    <t>Research, Development, Demonstration and Deployment Projects</t>
  </si>
  <si>
    <t>Human Resources and Training</t>
  </si>
  <si>
    <t>Low and No Emissions Buses</t>
  </si>
  <si>
    <t>Facilities and Equipment Relating to Low/No Emissions Buses</t>
  </si>
  <si>
    <t>Transit Research</t>
  </si>
  <si>
    <t>National Transit Institute</t>
  </si>
  <si>
    <t>States and Territories Allocation</t>
  </si>
  <si>
    <t>Formula Allocation</t>
  </si>
  <si>
    <t>2015 Enacted Full Year</t>
  </si>
  <si>
    <t>Other Research, Development, Demonstration and Deployment Projects</t>
  </si>
  <si>
    <t>Oversight Takedown</t>
  </si>
  <si>
    <t>Oversight takedown</t>
  </si>
  <si>
    <t>Allocated by formula</t>
  </si>
  <si>
    <t>Alliocated by formula</t>
  </si>
  <si>
    <t>State</t>
  </si>
  <si>
    <t>Alaska……………………………………….</t>
  </si>
  <si>
    <t>American Samoa…………………………….</t>
  </si>
  <si>
    <t>Arizona……………………………………….</t>
  </si>
  <si>
    <t>Arkansas…………………………………….</t>
  </si>
  <si>
    <t>Colorado…………………………………….</t>
  </si>
  <si>
    <t>Delaware…………………………………….</t>
  </si>
  <si>
    <t>District of Columbia……………………….</t>
  </si>
  <si>
    <t>Florida……………………………………….</t>
  </si>
  <si>
    <t>Georgia………………………………………</t>
  </si>
  <si>
    <t>Guam…………………………………………</t>
  </si>
  <si>
    <t>Hawaii……………………………………….</t>
  </si>
  <si>
    <t>Idaho………………………………………….</t>
  </si>
  <si>
    <t>Indiana………………………………………</t>
  </si>
  <si>
    <t>Iowa………………………………………….</t>
  </si>
  <si>
    <t>Kansas……………………………………….</t>
  </si>
  <si>
    <t>Kentucky……………………………………</t>
  </si>
  <si>
    <t>Louisiana…………………………………….</t>
  </si>
  <si>
    <t>Maine…………………………………………</t>
  </si>
  <si>
    <t>Maryland…………………………………….</t>
  </si>
  <si>
    <t>Massachusetts…………………………….</t>
  </si>
  <si>
    <t>Michigan…………………………………….</t>
  </si>
  <si>
    <t>Minnesota………………………………….</t>
  </si>
  <si>
    <t>Mississippi………………………………….</t>
  </si>
  <si>
    <t>Missouri…………………………………….</t>
  </si>
  <si>
    <t>N. Mariana Islands………………………….</t>
  </si>
  <si>
    <t>Nebraska…………………………………….</t>
  </si>
  <si>
    <t>Nevada……………………………………….</t>
  </si>
  <si>
    <t>New Hampshire…………………………….</t>
  </si>
  <si>
    <t>New Jersey………………………………….</t>
  </si>
  <si>
    <t>New Mexico…………………………………</t>
  </si>
  <si>
    <t>New York…………………………………….</t>
  </si>
  <si>
    <t>North Carolina……………………………………</t>
  </si>
  <si>
    <t>North Dakota……………………………….</t>
  </si>
  <si>
    <t>Oklahoma……………………………………</t>
  </si>
  <si>
    <t>Oregon……………………………………….</t>
  </si>
  <si>
    <t>Pennsylvania……………………………….</t>
  </si>
  <si>
    <t>Puerto Rico………………………………….</t>
  </si>
  <si>
    <t>South Carolina………………………………</t>
  </si>
  <si>
    <t>South Dakota……………………………….</t>
  </si>
  <si>
    <t>Tennessee………………………………….</t>
  </si>
  <si>
    <t>Texas…………………………………………</t>
  </si>
  <si>
    <t>Utah………………………………………….</t>
  </si>
  <si>
    <t>Virginia……………………………………….</t>
  </si>
  <si>
    <t>Washington…………………………………</t>
  </si>
  <si>
    <t>West Virginia………………………………</t>
  </si>
  <si>
    <t>FEDERAL TRANSIT ADMINISTRATION</t>
  </si>
  <si>
    <t>The information in this table include allocations for formula programs apportioned via FTA's Apportionment Notice Published on March 10, 2014 as well as Discretionary Program allocations announced in Federal Register Announcements in 2014. For allocations under the Public Transportation Emergency Relief Program, Please Contact the FTA Office of Program Management at 202-366-4020</t>
  </si>
  <si>
    <t>Section 5303</t>
  </si>
  <si>
    <t>Section 5304</t>
  </si>
  <si>
    <t>Section 5307 + 5340</t>
  </si>
  <si>
    <t>Section 5310</t>
  </si>
  <si>
    <t>Section 5311 + 5340</t>
  </si>
  <si>
    <t>Section 5311(b)(3)</t>
  </si>
  <si>
    <t>Section 5311(c)(2)</t>
  </si>
  <si>
    <t>Section 5311(c)(1)</t>
  </si>
  <si>
    <t>Metropolitan</t>
  </si>
  <si>
    <t>Statewide</t>
  </si>
  <si>
    <t>Urbanized Area</t>
  </si>
  <si>
    <t>Enhanced Mobility for</t>
  </si>
  <si>
    <t xml:space="preserve"> Nonurbanized Area</t>
  </si>
  <si>
    <t>Appalachian Dev. Public</t>
  </si>
  <si>
    <t>Indian Reserv.</t>
  </si>
  <si>
    <t>Bus and Bus</t>
  </si>
  <si>
    <t>Planning</t>
  </si>
  <si>
    <t>Formula</t>
  </si>
  <si>
    <t>Older Adults and People with Disabilities</t>
  </si>
  <si>
    <t xml:space="preserve">RTAP    </t>
  </si>
  <si>
    <t>Trans. Assist. Program</t>
  </si>
  <si>
    <t>Facilities Formula</t>
  </si>
  <si>
    <t>State Total</t>
  </si>
  <si>
    <t>Unallocated……………….</t>
  </si>
  <si>
    <t>Subtotal</t>
  </si>
  <si>
    <t>Oversight</t>
  </si>
  <si>
    <t>Ferry discretionary Program</t>
  </si>
  <si>
    <t>Total</t>
  </si>
  <si>
    <t>*Allocations for UZAs that are within multiple-states are split between the applicable states.</t>
  </si>
  <si>
    <t>Growing States and High Density States Formula --combine with 5307</t>
  </si>
  <si>
    <t>Urbanized Area Formula Grants --combine with 5340</t>
  </si>
  <si>
    <t>5311 Share</t>
  </si>
  <si>
    <t>5307 Share</t>
  </si>
  <si>
    <t xml:space="preserve">State Safety  </t>
  </si>
  <si>
    <t>Oversight Program</t>
  </si>
  <si>
    <t>Section 5329 (e)</t>
  </si>
  <si>
    <t>Alabama……………………………………</t>
  </si>
  <si>
    <t>California…………………………………</t>
  </si>
  <si>
    <t>Connecticut………………………………</t>
  </si>
  <si>
    <t>Illinois………………………………………</t>
  </si>
  <si>
    <t>Montana……………………………………</t>
  </si>
  <si>
    <t>Ohio…………………………………………</t>
  </si>
  <si>
    <t>Rhode Island………………………………</t>
  </si>
  <si>
    <t>Vermont……………………………………</t>
  </si>
  <si>
    <t>Virgin Islands………………………………</t>
  </si>
  <si>
    <t>Wisconsin…………………………………</t>
  </si>
  <si>
    <t xml:space="preserve">High Intensity </t>
  </si>
  <si>
    <t>MotorBus</t>
  </si>
  <si>
    <t>High Intensity</t>
  </si>
  <si>
    <t>Fixed Guideway</t>
  </si>
  <si>
    <t>Wyoming………………………………….</t>
  </si>
  <si>
    <t>5339 Total</t>
  </si>
  <si>
    <t xml:space="preserve">Statewide </t>
  </si>
  <si>
    <t xml:space="preserve">Allocation </t>
  </si>
  <si>
    <t>High Intensity Fixed Guideway Formula $100M</t>
  </si>
  <si>
    <t>No/Low Competitive Grant Program (from within Competitive Program)</t>
  </si>
  <si>
    <t>COMPETITIVE GRANTS</t>
  </si>
  <si>
    <t>Public Transportation on Indian Reservations --formula</t>
  </si>
  <si>
    <t>Public Transportation on Indian Reservations --discretionary</t>
  </si>
  <si>
    <t>Component Testing</t>
  </si>
  <si>
    <t xml:space="preserve">   Transit Cooperative Research</t>
  </si>
  <si>
    <t>Technical Assistance and Training (5314)</t>
  </si>
  <si>
    <t>Innovative Workforce Development 5322(b)</t>
  </si>
  <si>
    <t>Trust Funded Programs</t>
  </si>
  <si>
    <t>Pilot Program for Enhanced Mobility</t>
  </si>
  <si>
    <t>Projects of National Scope (NRTAP)</t>
  </si>
  <si>
    <t>Combined 5307/5340</t>
  </si>
  <si>
    <t>Combined 5311/5340</t>
  </si>
  <si>
    <t xml:space="preserve"> </t>
  </si>
  <si>
    <t>check</t>
  </si>
  <si>
    <t>General Funded Programs</t>
  </si>
  <si>
    <t>Pilot Progam for Expedited Project Delivery</t>
  </si>
  <si>
    <t>Safety</t>
  </si>
  <si>
    <t>Transit Asset Management</t>
  </si>
  <si>
    <t>Technical Assitance</t>
  </si>
  <si>
    <t>Tribal discretionary Program</t>
  </si>
  <si>
    <t>National RTAP</t>
  </si>
  <si>
    <t>Bus and Bus Facilities Discretionary Program</t>
  </si>
  <si>
    <r>
      <t xml:space="preserve">10-20-2015:  </t>
    </r>
    <r>
      <rPr>
        <sz val="11"/>
        <color theme="1"/>
        <rFont val="Calibri"/>
        <family val="2"/>
        <scheme val="minor"/>
      </rPr>
      <t>This workbook reflects runs for the STRRA bill</t>
    </r>
  </si>
  <si>
    <t>11-6-15: This workbook reflects the STRRA Legislation as passed by the House. Changes since 10-20 version = no High Density States Allocation, 2% STIC from FY 19-21 and current law formula for 5337 HIMB Tier.</t>
  </si>
  <si>
    <t>FY 15 State Total</t>
  </si>
  <si>
    <t>FY 16 State Total</t>
  </si>
  <si>
    <t>FY 17 State total</t>
  </si>
  <si>
    <t>FY  18 State Total</t>
  </si>
  <si>
    <t xml:space="preserve">FY 19 State Total </t>
  </si>
  <si>
    <t>FY 20 State Total</t>
  </si>
  <si>
    <t xml:space="preserve">FY 21 State Total </t>
  </si>
  <si>
    <t>Percentage</t>
  </si>
  <si>
    <t>Trust Fund</t>
  </si>
  <si>
    <t>5311(c)(1)</t>
  </si>
  <si>
    <t>5311(c)(2)</t>
  </si>
  <si>
    <t xml:space="preserve">National Transit Institute </t>
  </si>
  <si>
    <t>General Fund</t>
  </si>
  <si>
    <t>.</t>
  </si>
  <si>
    <t>Disclaimer: This technical drafting assistance is provided in response to a Congressional request and is not intended to reflect the viewpoint or policies of any element of the Department of Transportation or the Administration.</t>
  </si>
  <si>
    <t>FISCAL YEAR 2016 ESTIMATED APPORTIONMENTS/ALLOCATIONS BY STATE FOR SELECTED FTA PROGRAMS</t>
  </si>
  <si>
    <t>FISCAL YEAR 2017 ESTIMATED APPORTIONMENTS/ALLOCATIONS BY STATE FOR SELECTED FTA PROGRAMS</t>
  </si>
  <si>
    <t>FISCAL YEAR 2018 ESTIMATED APPORTIONMENTS/ALLOCATIONS BY STATE FOR SELECTED FTA PROGRAMS</t>
  </si>
  <si>
    <t>FISCAL YEAR 2019 ESTIMATED APPORTIONMENTS/ALLOCATIONS BY STATE FOR SELECTED FTA PROGRAMS</t>
  </si>
  <si>
    <t>FISCAL YEAR 2020 ESTIMATED APPORTIONMENTS/ALLOCATIONS BY STATE FOR SELECTED FTA PROGRAMS</t>
  </si>
  <si>
    <t>FISCAL YEAR 2015 Full Year Actual APPORTIONMENTS/ALLOCATIONS BY STATE FOR SELECTED FTA PROGRAMS</t>
  </si>
  <si>
    <t xml:space="preserve">STRR Act ESTIMATED APPORTIONMENTS/ALLOCATIONS BY STATE PER YEAR </t>
  </si>
  <si>
    <t>Bus discretionary - underlying</t>
  </si>
  <si>
    <t>Bus Discretionary TOTAL</t>
  </si>
  <si>
    <t>Bus discr. - H-B amendment</t>
  </si>
  <si>
    <t>FY 15</t>
  </si>
  <si>
    <t>FY 16</t>
  </si>
  <si>
    <t>FY 17</t>
  </si>
  <si>
    <t xml:space="preserve">FY 18 </t>
  </si>
  <si>
    <t>FY 19</t>
  </si>
  <si>
    <t xml:space="preserve">FY 20 </t>
  </si>
  <si>
    <t>FY 21</t>
  </si>
  <si>
    <t>Transit Oriented Development</t>
  </si>
  <si>
    <t xml:space="preserve">Bus Testing </t>
  </si>
  <si>
    <t>Oversight (2)</t>
  </si>
  <si>
    <t xml:space="preserve">TF </t>
  </si>
  <si>
    <t xml:space="preserve">Differential </t>
  </si>
  <si>
    <t>State Subtotal</t>
  </si>
  <si>
    <t>TOTAL</t>
  </si>
  <si>
    <t>Metropolitan Planning</t>
  </si>
  <si>
    <t>Statewide Planning</t>
  </si>
  <si>
    <t>Urban</t>
  </si>
  <si>
    <t>SSO</t>
  </si>
  <si>
    <t>Percentqage</t>
  </si>
  <si>
    <t>RTAP</t>
  </si>
  <si>
    <t>App</t>
  </si>
  <si>
    <t>Indian</t>
  </si>
  <si>
    <t>SGR</t>
  </si>
  <si>
    <t>HIMB</t>
  </si>
  <si>
    <t>MAP-21 FISCAL YEAR 2015 ENACTED LEVELS</t>
  </si>
  <si>
    <t>STRR 2016</t>
  </si>
  <si>
    <t>STRR 2017</t>
  </si>
  <si>
    <t>STRR 2018</t>
  </si>
  <si>
    <t>STRR 2019</t>
  </si>
  <si>
    <t>STRR 2020</t>
  </si>
  <si>
    <t>TOTALS</t>
  </si>
  <si>
    <t>Contract Authority/Obligation Limtiation</t>
  </si>
  <si>
    <t>Obligation Limitation/Contract Authority</t>
  </si>
  <si>
    <t>Balance of CA</t>
  </si>
  <si>
    <t>5303 (20005(b))</t>
  </si>
  <si>
    <t xml:space="preserve">Urbanized Area Formula Grants </t>
  </si>
  <si>
    <t>Public Transportation on Indian Reservations Formula</t>
  </si>
  <si>
    <t>Public Transportation on Indian Reservations Competitive</t>
  </si>
  <si>
    <t>Rural Transportation Assistance Program</t>
  </si>
  <si>
    <t xml:space="preserve">  Transit Research **</t>
  </si>
  <si>
    <t>Component Testing (NEW)</t>
  </si>
  <si>
    <t xml:space="preserve"> Transit Cooperative Research (NEW)**</t>
  </si>
  <si>
    <t>Transit Cooperative Research (Moved to Research)</t>
  </si>
  <si>
    <t>5322/5314</t>
  </si>
  <si>
    <t>Human Resources and Training **(including NTI)</t>
  </si>
  <si>
    <t>5322 (d)</t>
  </si>
  <si>
    <t xml:space="preserve">   Bus and Bus Facilities Formula Grants (total)</t>
  </si>
  <si>
    <t>States and Territories Minimum Allocation</t>
  </si>
  <si>
    <t>Growing States and High Density States Formula</t>
  </si>
  <si>
    <t>Expedited Program for Project Delivery of Capital Investment Grants</t>
  </si>
  <si>
    <t>Transit Research **</t>
  </si>
  <si>
    <t>Technical Assistance and Training</t>
  </si>
  <si>
    <t>Human Resources and Training **</t>
  </si>
  <si>
    <t>Safety Oversight</t>
  </si>
  <si>
    <t>Projects of National Scope (non add within RTAP)</t>
  </si>
  <si>
    <t xml:space="preserve">Bus discretionary </t>
  </si>
  <si>
    <t>Research</t>
  </si>
  <si>
    <t>TCRP</t>
  </si>
  <si>
    <t>FY 20</t>
  </si>
  <si>
    <t>[$55,000,000]</t>
  </si>
  <si>
    <t>Positive Train Control</t>
  </si>
  <si>
    <t>FY 2016</t>
  </si>
  <si>
    <t>FY 2017</t>
  </si>
  <si>
    <t>FY 2018</t>
  </si>
  <si>
    <t>FY 2019</t>
  </si>
  <si>
    <t>FY 2020</t>
  </si>
  <si>
    <t xml:space="preserve">Final Run -- ESTIMATED APPORTIONMENTS/ALLOCATIONS BY STATE PER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</si>
</sst>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_);[Red]\(&quot;$&quot;#,##0\)"/>
    <numFmt numFmtId="165" formatCode="_(&quot;$&quot;* #,##0.00_);_(&quot;$&quot;* \(#,##0.00\);_(&quot;$&quot;* &quot;-&quot;??_);_(@_)"/>
    <numFmt numFmtId="166" formatCode="_(* #,##0.00_);_(* \(#,##0.00\);_(* &quot;-&quot;??_);_(@_)"/>
    <numFmt numFmtId="167" formatCode="_(* #,##0_);_(* \(#,##0\);_(* &quot;-&quot;??_);_(@_)"/>
    <numFmt numFmtId="168" formatCode="0.00000"/>
    <numFmt numFmtId="169" formatCode="#,##0.00000"/>
    <numFmt numFmtId="170" formatCode="&quot;$&quot;#,##0"/>
    <numFmt numFmtId="171" formatCode="_(&quot;$&quot;* #,##0_);_(&quot;$&quot;* \(#,##0\);_(&quot;$&quot;* &quot;-&quot;??_);_(@_)"/>
    <numFmt numFmtId="172" formatCode="0.00000%"/>
    <numFmt numFmtId="173" formatCode="#,##0.0000"/>
  </numFmts>
  <fonts count="21" x14ac:knownFonts="1">
    <font>
      <sz val="11"/>
      <color theme="1"/>
      <name val="Calibri"/>
      <family val="2"/>
      <scheme val="minor"/>
    </font>
    <font>
      <sz val="10"/>
      <name val="Arial MT"/>
    </font>
    <font>
      <b/>
      <sz val="11"/>
      <color theme="1"/>
      <name val="Calibri"/>
      <family val="2"/>
      <scheme val="minor"/>
    </font>
    <font>
      <b/>
      <sz val="9"/>
      <name val="Arial"/>
      <family val="2"/>
    </font>
    <font>
      <sz val="9"/>
      <name val="Arial"/>
      <family val="2"/>
    </font>
    <font>
      <sz val="11"/>
      <color theme="1"/>
      <name val="Calibri"/>
      <family val="2"/>
      <scheme val="minor"/>
    </font>
    <font>
      <b/>
      <sz val="14"/>
      <name val="Arial"/>
      <family val="2"/>
    </font>
    <font>
      <b/>
      <sz val="12"/>
      <name val="Arial"/>
      <family val="2"/>
    </font>
    <font>
      <b/>
      <i/>
      <sz val="9"/>
      <color indexed="12"/>
      <name val="Times New Roman"/>
      <family val="1"/>
    </font>
    <font>
      <sz val="9"/>
      <color theme="1"/>
      <name val="Times New Roman"/>
      <family val="1"/>
    </font>
    <font>
      <u/>
      <sz val="9"/>
      <name val="Arial"/>
      <family val="2"/>
    </font>
    <font>
      <sz val="9"/>
      <color indexed="8"/>
      <name val="Arial"/>
      <family val="2"/>
    </font>
    <font>
      <b/>
      <i/>
      <sz val="11"/>
      <color theme="1"/>
      <name val="Calibri"/>
      <family val="2"/>
      <scheme val="minor"/>
    </font>
    <font>
      <i/>
      <sz val="11"/>
      <color theme="1"/>
      <name val="Calibri"/>
      <family val="2"/>
      <scheme val="minor"/>
    </font>
    <font>
      <i/>
      <sz val="11"/>
      <name val="Calibri"/>
      <family val="2"/>
    </font>
    <font>
      <b/>
      <sz val="14"/>
      <color theme="1"/>
      <name val="Calibri"/>
      <family val="2"/>
      <scheme val="minor"/>
    </font>
    <font>
      <b/>
      <sz val="11"/>
      <name val="Arial"/>
      <family val="2"/>
    </font>
    <font>
      <sz val="11"/>
      <name val="Calibri"/>
      <family val="2"/>
      <scheme val="minor"/>
    </font>
    <font>
      <b/>
      <sz val="11"/>
      <name val="Calibri"/>
      <family val="2"/>
      <scheme val="minor"/>
    </font>
    <font>
      <i/>
      <sz val="9"/>
      <name val="Arial"/>
      <family val="2"/>
    </font>
    <font>
      <sz val="8"/>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79998168889431442"/>
      </patternFill>
    </fill>
    <fill>
      <patternFill patternType="solid">
        <fgColor theme="5" tint="0.7999816888943144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3" tint="0.59999389629810485"/>
        <bgColor theme="4" tint="0.79998168889431442"/>
      </patternFill>
    </fill>
    <fill>
      <patternFill patternType="solid">
        <fgColor rgb="FFFFFF00"/>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5" tint="0.39997558519241921"/>
        <bgColor indexed="64"/>
      </patternFill>
    </fill>
  </fills>
  <borders count="19">
    <border>
      <left/>
      <right/>
      <top/>
      <bottom/>
      <diagonal/>
    </border>
    <border>
      <left/>
      <right/>
      <top/>
      <bottom style="thin">
        <color theme="4" tint="0.39997558519241921"/>
      </bottom>
      <diagonal/>
    </border>
    <border>
      <left/>
      <right/>
      <top style="thin">
        <color theme="4" tint="0.39997558519241921"/>
      </top>
      <bottom/>
      <diagonal/>
    </border>
    <border>
      <left/>
      <right/>
      <top/>
      <bottom style="thin">
        <color auto="1"/>
      </bottom>
      <diagonal/>
    </border>
    <border>
      <left/>
      <right/>
      <top style="thin">
        <color auto="1"/>
      </top>
      <bottom style="thin">
        <color auto="1"/>
      </bottom>
      <diagonal/>
    </border>
    <border>
      <left/>
      <right/>
      <top/>
      <bottom style="medium">
        <color auto="1"/>
      </bottom>
      <diagonal/>
    </border>
    <border>
      <left/>
      <right/>
      <top style="thin">
        <color auto="1"/>
      </top>
      <bottom style="double">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s>
  <cellStyleXfs count="8">
    <xf numFmtId="0" fontId="0" fillId="0" borderId="0"/>
    <xf numFmtId="37" fontId="1" fillId="0" borderId="0"/>
    <xf numFmtId="166" fontId="1" fillId="0" borderId="0" applyFont="0" applyFill="0" applyBorder="0" applyAlignment="0" applyProtection="0"/>
    <xf numFmtId="9"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cellStyleXfs>
  <cellXfs count="305">
    <xf numFmtId="0" fontId="0" fillId="0" borderId="0" xfId="0"/>
    <xf numFmtId="167" fontId="0" fillId="0" borderId="0" xfId="0" applyNumberFormat="1"/>
    <xf numFmtId="167" fontId="2" fillId="0" borderId="0" xfId="0" applyNumberFormat="1" applyFont="1"/>
    <xf numFmtId="0" fontId="2" fillId="3" borderId="1" xfId="0" applyFont="1" applyFill="1" applyBorder="1" applyAlignment="1">
      <alignment horizontal="center"/>
    </xf>
    <xf numFmtId="0" fontId="0" fillId="0" borderId="0" xfId="0" applyAlignment="1">
      <alignment horizontal="left" indent="2"/>
    </xf>
    <xf numFmtId="0" fontId="2" fillId="0" borderId="0" xfId="0" applyFont="1" applyAlignment="1">
      <alignment horizontal="left" indent="1"/>
    </xf>
    <xf numFmtId="0" fontId="2" fillId="3" borderId="1" xfId="0" applyFont="1" applyFill="1" applyBorder="1"/>
    <xf numFmtId="3" fontId="0" fillId="0" borderId="0" xfId="0" applyNumberFormat="1"/>
    <xf numFmtId="167" fontId="0" fillId="0" borderId="0" xfId="0" applyNumberFormat="1" applyFont="1"/>
    <xf numFmtId="0" fontId="0" fillId="0" borderId="0" xfId="0" applyFont="1"/>
    <xf numFmtId="167" fontId="2" fillId="2" borderId="0" xfId="0" applyNumberFormat="1" applyFont="1" applyFill="1" applyBorder="1"/>
    <xf numFmtId="0" fontId="2" fillId="3" borderId="1" xfId="0" applyFont="1" applyFill="1" applyBorder="1" applyAlignment="1">
      <alignment horizontal="center" wrapText="1"/>
    </xf>
    <xf numFmtId="0" fontId="0" fillId="3" borderId="1" xfId="0" applyFont="1" applyFill="1" applyBorder="1" applyAlignment="1">
      <alignment horizontal="center" wrapText="1"/>
    </xf>
    <xf numFmtId="167" fontId="0" fillId="0" borderId="0" xfId="0" applyNumberFormat="1" applyFont="1" applyAlignment="1">
      <alignment horizontal="left"/>
    </xf>
    <xf numFmtId="0" fontId="0" fillId="3" borderId="1" xfId="0" applyFont="1" applyFill="1" applyBorder="1" applyAlignment="1">
      <alignment horizontal="left" wrapText="1"/>
    </xf>
    <xf numFmtId="0" fontId="0" fillId="0" borderId="0" xfId="0" applyFont="1" applyAlignment="1">
      <alignment horizontal="left"/>
    </xf>
    <xf numFmtId="0" fontId="0" fillId="4" borderId="0" xfId="0" applyFill="1" applyAlignment="1">
      <alignment horizontal="left" indent="2"/>
    </xf>
    <xf numFmtId="167" fontId="0" fillId="4" borderId="0" xfId="0" applyNumberFormat="1" applyFill="1"/>
    <xf numFmtId="0" fontId="0" fillId="4" borderId="0" xfId="0" applyFill="1"/>
    <xf numFmtId="3" fontId="4" fillId="0" borderId="0" xfId="0" applyNumberFormat="1" applyFont="1" applyFill="1"/>
    <xf numFmtId="167" fontId="2" fillId="5" borderId="2" xfId="0" applyNumberFormat="1" applyFont="1" applyFill="1" applyBorder="1"/>
    <xf numFmtId="167" fontId="0" fillId="5" borderId="2" xfId="0" applyNumberFormat="1" applyFont="1" applyFill="1" applyBorder="1"/>
    <xf numFmtId="167" fontId="0" fillId="5" borderId="2" xfId="0" applyNumberFormat="1" applyFont="1" applyFill="1" applyBorder="1" applyAlignment="1">
      <alignment horizontal="left"/>
    </xf>
    <xf numFmtId="167" fontId="2" fillId="5" borderId="2" xfId="0" applyNumberFormat="1" applyFont="1" applyFill="1" applyBorder="1" applyAlignment="1">
      <alignment horizontal="left"/>
    </xf>
    <xf numFmtId="167" fontId="2" fillId="5" borderId="0" xfId="0" applyNumberFormat="1" applyFont="1" applyFill="1" applyBorder="1"/>
    <xf numFmtId="3" fontId="4" fillId="0" borderId="0" xfId="0" applyNumberFormat="1" applyFont="1" applyFill="1" applyAlignment="1">
      <alignment vertical="center"/>
    </xf>
    <xf numFmtId="3" fontId="4" fillId="0" borderId="0" xfId="0" applyNumberFormat="1" applyFont="1" applyFill="1" applyBorder="1" applyAlignment="1">
      <alignment vertical="center"/>
    </xf>
    <xf numFmtId="3" fontId="8" fillId="0" borderId="0" xfId="0" applyNumberFormat="1" applyFont="1" applyFill="1" applyBorder="1" applyAlignment="1">
      <alignment horizontal="center" vertical="center"/>
    </xf>
    <xf numFmtId="3" fontId="3" fillId="0" borderId="4" xfId="0" applyNumberFormat="1" applyFont="1" applyFill="1" applyBorder="1" applyAlignment="1">
      <alignment horizontal="center"/>
    </xf>
    <xf numFmtId="3" fontId="3" fillId="0" borderId="4" xfId="0" applyNumberFormat="1" applyFont="1" applyFill="1" applyBorder="1" applyAlignment="1">
      <alignment vertical="center"/>
    </xf>
    <xf numFmtId="3" fontId="3" fillId="0" borderId="0" xfId="0" applyNumberFormat="1" applyFont="1" applyFill="1" applyBorder="1" applyAlignment="1">
      <alignment horizontal="center"/>
    </xf>
    <xf numFmtId="3" fontId="3" fillId="0" borderId="0" xfId="0" applyNumberFormat="1" applyFont="1" applyFill="1" applyBorder="1" applyAlignment="1">
      <alignment vertical="center"/>
    </xf>
    <xf numFmtId="3" fontId="10" fillId="0" borderId="0" xfId="0" applyNumberFormat="1" applyFont="1" applyFill="1"/>
    <xf numFmtId="3" fontId="4" fillId="0" borderId="0" xfId="0" applyNumberFormat="1" applyFont="1" applyFill="1" applyBorder="1" applyAlignment="1">
      <alignment horizontal="center"/>
    </xf>
    <xf numFmtId="3" fontId="4" fillId="0" borderId="0" xfId="0" applyNumberFormat="1" applyFont="1" applyFill="1" applyAlignment="1">
      <alignment horizontal="center"/>
    </xf>
    <xf numFmtId="3" fontId="4" fillId="0" borderId="5" xfId="0" applyNumberFormat="1" applyFont="1" applyFill="1" applyBorder="1" applyAlignment="1">
      <alignment horizontal="center"/>
    </xf>
    <xf numFmtId="3" fontId="4" fillId="0" borderId="5" xfId="0" applyNumberFormat="1" applyFont="1" applyFill="1" applyBorder="1" applyAlignment="1">
      <alignment horizontal="right"/>
    </xf>
    <xf numFmtId="3" fontId="4" fillId="0" borderId="0" xfId="0" applyNumberFormat="1" applyFont="1" applyFill="1" applyProtection="1"/>
    <xf numFmtId="3" fontId="4" fillId="0" borderId="0" xfId="4" applyNumberFormat="1" applyFont="1" applyFill="1" applyAlignment="1"/>
    <xf numFmtId="3" fontId="4" fillId="0" borderId="0" xfId="4" applyNumberFormat="1" applyFont="1" applyFill="1"/>
    <xf numFmtId="3" fontId="4" fillId="0" borderId="0" xfId="4" applyNumberFormat="1" applyFont="1" applyFill="1" applyBorder="1" applyAlignment="1"/>
    <xf numFmtId="3" fontId="4" fillId="0" borderId="0" xfId="0" applyNumberFormat="1" applyFont="1" applyFill="1" applyAlignment="1" applyProtection="1">
      <alignment horizontal="left" indent="1"/>
    </xf>
    <xf numFmtId="3" fontId="11" fillId="0" borderId="0" xfId="4" applyNumberFormat="1" applyFont="1" applyFill="1" applyBorder="1" applyAlignment="1"/>
    <xf numFmtId="3" fontId="4" fillId="0" borderId="0" xfId="4" applyNumberFormat="1" applyFont="1" applyAlignment="1"/>
    <xf numFmtId="167" fontId="0" fillId="4" borderId="0" xfId="0" applyNumberFormat="1" applyFont="1" applyFill="1"/>
    <xf numFmtId="37" fontId="0" fillId="0" borderId="0" xfId="0" applyNumberFormat="1"/>
    <xf numFmtId="166" fontId="0" fillId="0" borderId="0" xfId="0" applyNumberFormat="1"/>
    <xf numFmtId="3" fontId="4" fillId="0" borderId="10" xfId="0" applyNumberFormat="1" applyFont="1" applyFill="1" applyBorder="1" applyAlignment="1">
      <alignment horizontal="center"/>
    </xf>
    <xf numFmtId="37" fontId="0" fillId="0" borderId="0" xfId="0" applyNumberFormat="1" applyFont="1"/>
    <xf numFmtId="3" fontId="4" fillId="0" borderId="11" xfId="0" applyNumberFormat="1" applyFont="1" applyFill="1" applyBorder="1" applyAlignment="1">
      <alignment horizontal="center"/>
    </xf>
    <xf numFmtId="3" fontId="4" fillId="0" borderId="12" xfId="0" applyNumberFormat="1" applyFont="1" applyFill="1" applyBorder="1" applyAlignment="1">
      <alignment horizontal="center"/>
    </xf>
    <xf numFmtId="3" fontId="0" fillId="0" borderId="0" xfId="0" applyNumberFormat="1" applyFont="1" applyAlignment="1">
      <alignment horizontal="left"/>
    </xf>
    <xf numFmtId="166" fontId="0" fillId="0" borderId="0" xfId="0" applyNumberFormat="1" applyFont="1" applyAlignment="1">
      <alignment horizontal="left"/>
    </xf>
    <xf numFmtId="168" fontId="0" fillId="0" borderId="0" xfId="0" applyNumberFormat="1" applyFont="1"/>
    <xf numFmtId="169" fontId="0" fillId="0" borderId="0" xfId="0" applyNumberFormat="1"/>
    <xf numFmtId="3" fontId="3" fillId="0" borderId="8" xfId="0" applyNumberFormat="1" applyFont="1" applyFill="1" applyBorder="1" applyAlignment="1">
      <alignment horizontal="center"/>
    </xf>
    <xf numFmtId="0" fontId="0" fillId="0" borderId="8" xfId="0" applyBorder="1" applyAlignment="1">
      <alignment horizontal="center"/>
    </xf>
    <xf numFmtId="3" fontId="3" fillId="0" borderId="7" xfId="0" applyNumberFormat="1" applyFont="1" applyFill="1" applyBorder="1" applyAlignment="1">
      <alignment horizontal="center"/>
    </xf>
    <xf numFmtId="3" fontId="3" fillId="0" borderId="9" xfId="0" applyNumberFormat="1" applyFont="1" applyFill="1" applyBorder="1" applyAlignment="1">
      <alignment horizontal="center"/>
    </xf>
    <xf numFmtId="3" fontId="4" fillId="0" borderId="8" xfId="0" applyNumberFormat="1" applyFont="1" applyFill="1" applyBorder="1" applyAlignment="1">
      <alignment horizontal="center"/>
    </xf>
    <xf numFmtId="3" fontId="4" fillId="0" borderId="13" xfId="0" applyNumberFormat="1" applyFont="1" applyFill="1" applyBorder="1" applyAlignment="1">
      <alignment horizontal="center"/>
    </xf>
    <xf numFmtId="3" fontId="0" fillId="0" borderId="0" xfId="0" applyNumberFormat="1" applyFont="1"/>
    <xf numFmtId="0" fontId="2" fillId="0" borderId="0" xfId="0" applyFont="1"/>
    <xf numFmtId="167" fontId="0" fillId="0" borderId="0" xfId="0" applyNumberFormat="1"/>
    <xf numFmtId="0" fontId="0" fillId="0" borderId="0" xfId="0" applyAlignment="1">
      <alignment horizontal="left" indent="2"/>
    </xf>
    <xf numFmtId="3" fontId="0" fillId="0" borderId="0" xfId="0" applyNumberFormat="1"/>
    <xf numFmtId="0" fontId="0" fillId="0" borderId="0" xfId="0" applyFont="1" applyAlignment="1">
      <alignment horizontal="left" indent="1"/>
    </xf>
    <xf numFmtId="167" fontId="0" fillId="0" borderId="0" xfId="0" applyNumberFormat="1" applyFont="1"/>
    <xf numFmtId="167" fontId="2" fillId="2" borderId="0" xfId="0" applyNumberFormat="1" applyFont="1" applyFill="1" applyBorder="1"/>
    <xf numFmtId="0" fontId="0" fillId="3" borderId="1" xfId="0" applyFont="1" applyFill="1" applyBorder="1" applyAlignment="1">
      <alignment horizontal="center" wrapText="1"/>
    </xf>
    <xf numFmtId="167" fontId="0" fillId="4" borderId="0" xfId="0" applyNumberFormat="1" applyFill="1"/>
    <xf numFmtId="0" fontId="0" fillId="4" borderId="0" xfId="0" applyFill="1"/>
    <xf numFmtId="3" fontId="4" fillId="0" borderId="0" xfId="0" applyNumberFormat="1" applyFont="1" applyFill="1"/>
    <xf numFmtId="3" fontId="4" fillId="0" borderId="0" xfId="4" applyNumberFormat="1" applyFont="1" applyFill="1" applyAlignment="1"/>
    <xf numFmtId="3" fontId="4" fillId="0" borderId="0" xfId="4" applyNumberFormat="1" applyFont="1" applyFill="1"/>
    <xf numFmtId="3" fontId="4" fillId="0" borderId="0" xfId="4" applyNumberFormat="1" applyFont="1" applyFill="1" applyBorder="1" applyAlignment="1"/>
    <xf numFmtId="3" fontId="11" fillId="0" borderId="0" xfId="4" applyNumberFormat="1" applyFont="1" applyFill="1" applyBorder="1" applyAlignment="1"/>
    <xf numFmtId="167" fontId="0" fillId="4" borderId="0" xfId="0" applyNumberFormat="1" applyFont="1" applyFill="1"/>
    <xf numFmtId="0" fontId="2" fillId="7" borderId="0" xfId="0" applyFont="1" applyFill="1" applyAlignment="1">
      <alignment horizontal="left" indent="1"/>
    </xf>
    <xf numFmtId="167" fontId="2" fillId="7" borderId="0" xfId="0" applyNumberFormat="1" applyFont="1" applyFill="1"/>
    <xf numFmtId="167" fontId="0" fillId="7" borderId="0" xfId="0" applyNumberFormat="1" applyFont="1" applyFill="1"/>
    <xf numFmtId="167" fontId="13" fillId="4" borderId="0" xfId="0" applyNumberFormat="1" applyFont="1" applyFill="1"/>
    <xf numFmtId="0" fontId="0" fillId="0" borderId="0" xfId="0"/>
    <xf numFmtId="0" fontId="0" fillId="0" borderId="0" xfId="0" applyFill="1"/>
    <xf numFmtId="167" fontId="0" fillId="0" borderId="0" xfId="0" applyNumberFormat="1" applyFill="1"/>
    <xf numFmtId="167" fontId="0" fillId="8" borderId="0" xfId="0" applyNumberFormat="1" applyFont="1" applyFill="1"/>
    <xf numFmtId="0" fontId="0" fillId="0" borderId="0" xfId="0" applyFill="1" applyAlignment="1">
      <alignment horizontal="left" indent="2"/>
    </xf>
    <xf numFmtId="167" fontId="0" fillId="0" borderId="0" xfId="0" applyNumberFormat="1" applyFont="1" applyFill="1"/>
    <xf numFmtId="0" fontId="0" fillId="0" borderId="14" xfId="0" applyFont="1" applyFill="1" applyBorder="1" applyAlignment="1">
      <alignment horizontal="left" indent="2"/>
    </xf>
    <xf numFmtId="0" fontId="13" fillId="0" borderId="0" xfId="0" applyFont="1" applyFill="1" applyBorder="1" applyAlignment="1">
      <alignment horizontal="left" indent="2"/>
    </xf>
    <xf numFmtId="0" fontId="13" fillId="0" borderId="0" xfId="0" applyFont="1" applyFill="1" applyAlignment="1">
      <alignment horizontal="right" indent="2"/>
    </xf>
    <xf numFmtId="167" fontId="13" fillId="0" borderId="0" xfId="0" applyNumberFormat="1" applyFont="1" applyFill="1"/>
    <xf numFmtId="0" fontId="2" fillId="8" borderId="0" xfId="0" applyFont="1" applyFill="1" applyAlignment="1">
      <alignment horizontal="left" indent="1"/>
    </xf>
    <xf numFmtId="167" fontId="2" fillId="8" borderId="0" xfId="0" applyNumberFormat="1" applyFont="1" applyFill="1"/>
    <xf numFmtId="167" fontId="2" fillId="0" borderId="0" xfId="0" applyNumberFormat="1" applyFont="1" applyFill="1"/>
    <xf numFmtId="167" fontId="2" fillId="7" borderId="1" xfId="0" applyNumberFormat="1" applyFont="1" applyFill="1" applyBorder="1"/>
    <xf numFmtId="167" fontId="0" fillId="7" borderId="1" xfId="0" applyNumberFormat="1" applyFont="1" applyFill="1" applyBorder="1"/>
    <xf numFmtId="167" fontId="2" fillId="8" borderId="1" xfId="0" applyNumberFormat="1" applyFont="1" applyFill="1" applyBorder="1"/>
    <xf numFmtId="167" fontId="0" fillId="8" borderId="1" xfId="0" applyNumberFormat="1" applyFont="1" applyFill="1" applyBorder="1"/>
    <xf numFmtId="167" fontId="12" fillId="0" borderId="1" xfId="0" applyNumberFormat="1" applyFont="1" applyFill="1" applyBorder="1"/>
    <xf numFmtId="3" fontId="4" fillId="0" borderId="0" xfId="0" applyNumberFormat="1" applyFont="1" applyFill="1" applyAlignment="1">
      <alignment horizontal="right"/>
    </xf>
    <xf numFmtId="0" fontId="0" fillId="0" borderId="0" xfId="0"/>
    <xf numFmtId="3" fontId="0" fillId="0" borderId="0" xfId="0" applyNumberFormat="1"/>
    <xf numFmtId="167" fontId="2" fillId="9" borderId="0" xfId="0" applyNumberFormat="1" applyFont="1" applyFill="1" applyBorder="1"/>
    <xf numFmtId="0" fontId="2" fillId="9" borderId="0" xfId="0" applyFont="1" applyFill="1" applyAlignment="1">
      <alignment horizontal="left" indent="1"/>
    </xf>
    <xf numFmtId="167" fontId="2" fillId="9" borderId="0" xfId="0" applyNumberFormat="1" applyFont="1" applyFill="1"/>
    <xf numFmtId="167" fontId="0" fillId="9" borderId="0" xfId="0" applyNumberFormat="1" applyFont="1" applyFill="1"/>
    <xf numFmtId="0" fontId="0" fillId="9" borderId="0" xfId="0" applyFont="1" applyFill="1"/>
    <xf numFmtId="0" fontId="2" fillId="0" borderId="0" xfId="0" applyFont="1" applyFill="1" applyAlignment="1">
      <alignment horizontal="left" indent="1"/>
    </xf>
    <xf numFmtId="0" fontId="0" fillId="0" borderId="0" xfId="0" applyFont="1" applyFill="1"/>
    <xf numFmtId="167" fontId="0" fillId="0" borderId="1" xfId="0" applyNumberFormat="1" applyFont="1" applyFill="1" applyBorder="1"/>
    <xf numFmtId="167" fontId="0" fillId="0" borderId="1" xfId="0" applyNumberFormat="1" applyFont="1" applyFill="1" applyBorder="1" applyAlignment="1">
      <alignment horizontal="left"/>
    </xf>
    <xf numFmtId="0" fontId="0" fillId="0" borderId="0" xfId="0" applyFont="1" applyAlignment="1">
      <alignment horizontal="left" indent="2"/>
    </xf>
    <xf numFmtId="0" fontId="0" fillId="7" borderId="0" xfId="0" applyFill="1"/>
    <xf numFmtId="0" fontId="0" fillId="7" borderId="0" xfId="0" applyFont="1" applyFill="1"/>
    <xf numFmtId="0" fontId="0" fillId="7" borderId="0" xfId="0" applyFont="1" applyFill="1" applyAlignment="1">
      <alignment horizontal="left"/>
    </xf>
    <xf numFmtId="167" fontId="0" fillId="7" borderId="1" xfId="0" applyNumberFormat="1" applyFont="1" applyFill="1" applyBorder="1" applyAlignment="1">
      <alignment horizontal="left"/>
    </xf>
    <xf numFmtId="167" fontId="0" fillId="0" borderId="0" xfId="0" applyNumberFormat="1" applyFont="1" applyFill="1" applyBorder="1"/>
    <xf numFmtId="167" fontId="2" fillId="10" borderId="2" xfId="0" applyNumberFormat="1" applyFont="1" applyFill="1" applyBorder="1"/>
    <xf numFmtId="167" fontId="0" fillId="10" borderId="2" xfId="0" applyNumberFormat="1" applyFont="1" applyFill="1" applyBorder="1"/>
    <xf numFmtId="167" fontId="0" fillId="10" borderId="2" xfId="0" applyNumberFormat="1" applyFont="1" applyFill="1" applyBorder="1" applyAlignment="1">
      <alignment horizontal="left"/>
    </xf>
    <xf numFmtId="167" fontId="2" fillId="10" borderId="2" xfId="0" applyNumberFormat="1" applyFont="1" applyFill="1" applyBorder="1" applyAlignment="1">
      <alignment horizontal="left"/>
    </xf>
    <xf numFmtId="0" fontId="0" fillId="0" borderId="0" xfId="0" applyFont="1" applyFill="1" applyAlignment="1">
      <alignment horizontal="left"/>
    </xf>
    <xf numFmtId="3" fontId="4" fillId="0" borderId="0" xfId="0" applyNumberFormat="1" applyFont="1" applyFill="1" applyAlignment="1" applyProtection="1"/>
    <xf numFmtId="3" fontId="4" fillId="0" borderId="0" xfId="0" applyNumberFormat="1" applyFont="1" applyFill="1" applyAlignment="1"/>
    <xf numFmtId="3" fontId="4" fillId="0" borderId="0" xfId="0" applyNumberFormat="1" applyFont="1" applyFill="1" applyBorder="1" applyAlignment="1" applyProtection="1"/>
    <xf numFmtId="3" fontId="4" fillId="11" borderId="6" xfId="4" applyNumberFormat="1" applyFont="1" applyFill="1" applyBorder="1" applyAlignment="1"/>
    <xf numFmtId="167" fontId="2" fillId="11" borderId="0" xfId="0" applyNumberFormat="1" applyFont="1" applyFill="1"/>
    <xf numFmtId="167" fontId="0" fillId="11" borderId="0" xfId="0" applyNumberFormat="1" applyFill="1"/>
    <xf numFmtId="167" fontId="0" fillId="11" borderId="0" xfId="0" applyNumberFormat="1" applyFont="1" applyFill="1"/>
    <xf numFmtId="3" fontId="3" fillId="11" borderId="6" xfId="0" applyNumberFormat="1" applyFont="1" applyFill="1" applyBorder="1"/>
    <xf numFmtId="170" fontId="4" fillId="0" borderId="0" xfId="4" applyNumberFormat="1" applyFont="1" applyFill="1" applyAlignment="1"/>
    <xf numFmtId="170" fontId="4" fillId="0" borderId="0" xfId="4" applyNumberFormat="1" applyFont="1" applyFill="1" applyBorder="1" applyAlignment="1"/>
    <xf numFmtId="3" fontId="4" fillId="11" borderId="6" xfId="0" applyNumberFormat="1" applyFont="1" applyFill="1" applyBorder="1" applyAlignment="1" applyProtection="1">
      <alignment horizontal="left" indent="1"/>
    </xf>
    <xf numFmtId="3" fontId="11" fillId="4" borderId="0" xfId="4" applyNumberFormat="1" applyFont="1" applyFill="1" applyBorder="1" applyAlignment="1"/>
    <xf numFmtId="3" fontId="3" fillId="11" borderId="6" xfId="0" applyNumberFormat="1" applyFont="1" applyFill="1" applyBorder="1" applyAlignment="1" applyProtection="1"/>
    <xf numFmtId="3" fontId="4" fillId="11" borderId="0" xfId="4" applyNumberFormat="1" applyFont="1" applyFill="1"/>
    <xf numFmtId="0" fontId="0" fillId="0" borderId="0" xfId="0" applyFont="1" applyAlignment="1">
      <alignment wrapText="1"/>
    </xf>
    <xf numFmtId="0" fontId="14" fillId="0" borderId="0" xfId="0" applyFont="1"/>
    <xf numFmtId="3" fontId="3" fillId="0" borderId="5" xfId="0" applyNumberFormat="1" applyFont="1" applyFill="1" applyBorder="1" applyAlignment="1">
      <alignment horizontal="center"/>
    </xf>
    <xf numFmtId="3" fontId="2" fillId="0" borderId="15" xfId="0" applyNumberFormat="1" applyFont="1" applyBorder="1"/>
    <xf numFmtId="3" fontId="0" fillId="0" borderId="15" xfId="0" applyNumberFormat="1" applyBorder="1"/>
    <xf numFmtId="0" fontId="15" fillId="0" borderId="0" xfId="0" applyFont="1"/>
    <xf numFmtId="3" fontId="16" fillId="0" borderId="0" xfId="0" applyNumberFormat="1" applyFont="1" applyFill="1"/>
    <xf numFmtId="3" fontId="17" fillId="0" borderId="0" xfId="0" applyNumberFormat="1" applyFont="1" applyFill="1" applyProtection="1"/>
    <xf numFmtId="3" fontId="17" fillId="11" borderId="6" xfId="0" applyNumberFormat="1" applyFont="1" applyFill="1" applyBorder="1" applyAlignment="1" applyProtection="1">
      <alignment horizontal="left" indent="1"/>
    </xf>
    <xf numFmtId="3" fontId="17" fillId="0" borderId="0" xfId="0" applyNumberFormat="1" applyFont="1" applyFill="1" applyAlignment="1" applyProtection="1">
      <alignment horizontal="left" indent="1"/>
    </xf>
    <xf numFmtId="3" fontId="18" fillId="11" borderId="6" xfId="0" applyNumberFormat="1" applyFont="1" applyFill="1" applyBorder="1" applyAlignment="1" applyProtection="1"/>
    <xf numFmtId="3" fontId="17" fillId="0" borderId="0" xfId="0" applyNumberFormat="1" applyFont="1" applyFill="1" applyAlignment="1" applyProtection="1"/>
    <xf numFmtId="3" fontId="17" fillId="0" borderId="0" xfId="0" applyNumberFormat="1" applyFont="1" applyFill="1" applyAlignment="1"/>
    <xf numFmtId="3" fontId="17" fillId="0" borderId="0" xfId="0" applyNumberFormat="1" applyFont="1" applyFill="1"/>
    <xf numFmtId="3" fontId="18" fillId="11" borderId="6" xfId="0" applyNumberFormat="1" applyFont="1" applyFill="1" applyBorder="1"/>
    <xf numFmtId="3" fontId="13" fillId="0" borderId="15" xfId="0" applyNumberFormat="1" applyFont="1" applyBorder="1"/>
    <xf numFmtId="3" fontId="12" fillId="0" borderId="15" xfId="0" applyNumberFormat="1" applyFont="1" applyBorder="1"/>
    <xf numFmtId="3" fontId="18" fillId="0" borderId="0" xfId="0" applyNumberFormat="1" applyFont="1" applyFill="1" applyAlignment="1" applyProtection="1"/>
    <xf numFmtId="170" fontId="4" fillId="11" borderId="6" xfId="4" applyNumberFormat="1" applyFont="1" applyFill="1" applyBorder="1" applyAlignment="1"/>
    <xf numFmtId="170" fontId="11" fillId="0" borderId="0" xfId="4" applyNumberFormat="1" applyFont="1" applyFill="1" applyBorder="1" applyAlignment="1"/>
    <xf numFmtId="170" fontId="4" fillId="0" borderId="0" xfId="0" applyNumberFormat="1" applyFont="1" applyFill="1"/>
    <xf numFmtId="170" fontId="3" fillId="11" borderId="6" xfId="0" applyNumberFormat="1" applyFont="1" applyFill="1" applyBorder="1"/>
    <xf numFmtId="3" fontId="0" fillId="11" borderId="0" xfId="0" applyNumberFormat="1" applyFill="1"/>
    <xf numFmtId="0" fontId="0" fillId="11" borderId="0" xfId="0" applyFill="1"/>
    <xf numFmtId="3" fontId="4" fillId="4" borderId="0" xfId="0" applyNumberFormat="1" applyFont="1" applyFill="1" applyAlignment="1"/>
    <xf numFmtId="3" fontId="0" fillId="4" borderId="0" xfId="0" applyNumberFormat="1" applyFill="1"/>
    <xf numFmtId="3" fontId="10" fillId="0" borderId="15" xfId="0" applyNumberFormat="1" applyFont="1" applyFill="1" applyBorder="1"/>
    <xf numFmtId="3" fontId="4" fillId="0" borderId="15" xfId="0" applyNumberFormat="1" applyFont="1" applyFill="1" applyBorder="1" applyAlignment="1">
      <alignment horizontal="center"/>
    </xf>
    <xf numFmtId="3" fontId="4" fillId="0" borderId="15" xfId="0" applyNumberFormat="1" applyFont="1" applyFill="1" applyBorder="1" applyProtection="1"/>
    <xf numFmtId="3" fontId="4" fillId="0" borderId="15" xfId="0" applyNumberFormat="1" applyFont="1" applyFill="1" applyBorder="1" applyAlignment="1" applyProtection="1">
      <alignment horizontal="left" indent="1"/>
    </xf>
    <xf numFmtId="3" fontId="3" fillId="11" borderId="15" xfId="0" applyNumberFormat="1" applyFont="1" applyFill="1" applyBorder="1" applyAlignment="1" applyProtection="1"/>
    <xf numFmtId="3" fontId="4" fillId="0" borderId="15" xfId="0" applyNumberFormat="1" applyFont="1" applyFill="1" applyBorder="1" applyAlignment="1" applyProtection="1"/>
    <xf numFmtId="3" fontId="4" fillId="0" borderId="15" xfId="0" applyNumberFormat="1" applyFont="1" applyFill="1" applyBorder="1" applyAlignment="1"/>
    <xf numFmtId="3" fontId="4" fillId="4" borderId="15" xfId="0" applyNumberFormat="1" applyFont="1" applyFill="1" applyBorder="1" applyAlignment="1"/>
    <xf numFmtId="3" fontId="3" fillId="11" borderId="15" xfId="0" applyNumberFormat="1" applyFont="1" applyFill="1" applyBorder="1"/>
    <xf numFmtId="3" fontId="4" fillId="0" borderId="15" xfId="0" applyNumberFormat="1" applyFont="1" applyFill="1" applyBorder="1"/>
    <xf numFmtId="3" fontId="2" fillId="11" borderId="15" xfId="0" applyNumberFormat="1" applyFont="1" applyFill="1" applyBorder="1"/>
    <xf numFmtId="3" fontId="19" fillId="11" borderId="15" xfId="0" applyNumberFormat="1" applyFont="1" applyFill="1" applyBorder="1" applyAlignment="1" applyProtection="1">
      <alignment horizontal="left" indent="1"/>
    </xf>
    <xf numFmtId="3" fontId="13" fillId="11" borderId="15" xfId="0" applyNumberFormat="1" applyFont="1" applyFill="1" applyBorder="1"/>
    <xf numFmtId="3" fontId="3" fillId="0" borderId="15" xfId="0" applyNumberFormat="1" applyFont="1" applyFill="1" applyBorder="1" applyAlignment="1" applyProtection="1"/>
    <xf numFmtId="3" fontId="2" fillId="0" borderId="15" xfId="0" applyNumberFormat="1" applyFont="1" applyFill="1" applyBorder="1"/>
    <xf numFmtId="0" fontId="0" fillId="0" borderId="7" xfId="0" applyBorder="1" applyAlignment="1">
      <alignment horizontal="center"/>
    </xf>
    <xf numFmtId="0" fontId="0" fillId="0" borderId="8" xfId="0" applyBorder="1" applyAlignment="1">
      <alignment horizontal="center"/>
    </xf>
    <xf numFmtId="3" fontId="4" fillId="0" borderId="7" xfId="0" applyNumberFormat="1" applyFont="1" applyFill="1" applyBorder="1" applyAlignment="1">
      <alignment horizontal="center"/>
    </xf>
    <xf numFmtId="169" fontId="4" fillId="0" borderId="0" xfId="0" applyNumberFormat="1" applyFont="1" applyFill="1" applyProtection="1"/>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171" fontId="2" fillId="0" borderId="15" xfId="0" applyNumberFormat="1" applyFont="1" applyBorder="1" applyAlignment="1">
      <alignment horizontal="center" vertical="center" wrapText="1"/>
    </xf>
    <xf numFmtId="10" fontId="2" fillId="2" borderId="15" xfId="6" applyNumberFormat="1" applyFont="1" applyFill="1" applyBorder="1" applyAlignment="1">
      <alignment horizontal="center" vertical="center" wrapText="1"/>
    </xf>
    <xf numFmtId="171" fontId="2" fillId="13" borderId="15" xfId="7" applyNumberFormat="1" applyFont="1" applyFill="1" applyBorder="1" applyAlignment="1">
      <alignment horizontal="center" vertical="center" wrapText="1"/>
    </xf>
    <xf numFmtId="9" fontId="2" fillId="14" borderId="15" xfId="6" applyFont="1" applyFill="1" applyBorder="1" applyAlignment="1">
      <alignment horizontal="center" vertical="center" wrapText="1"/>
    </xf>
    <xf numFmtId="0" fontId="2" fillId="0" borderId="15" xfId="0" applyFont="1" applyBorder="1" applyAlignment="1">
      <alignment vertical="center"/>
    </xf>
    <xf numFmtId="171" fontId="2" fillId="0" borderId="15" xfId="0" applyNumberFormat="1" applyFont="1" applyBorder="1" applyAlignment="1">
      <alignment vertical="center"/>
    </xf>
    <xf numFmtId="171" fontId="2" fillId="13" borderId="15" xfId="7" applyNumberFormat="1" applyFont="1" applyFill="1" applyBorder="1" applyAlignment="1">
      <alignment horizontal="center" vertical="center"/>
    </xf>
    <xf numFmtId="10" fontId="2" fillId="2" borderId="15" xfId="6" applyNumberFormat="1" applyFont="1" applyFill="1" applyBorder="1" applyAlignment="1">
      <alignment horizontal="right" vertical="center"/>
    </xf>
    <xf numFmtId="10" fontId="2" fillId="2" borderId="15" xfId="6" applyNumberFormat="1" applyFont="1" applyFill="1" applyBorder="1" applyAlignment="1">
      <alignment vertical="center"/>
    </xf>
    <xf numFmtId="171" fontId="2" fillId="13" borderId="15" xfId="7" applyNumberFormat="1" applyFont="1" applyFill="1" applyBorder="1" applyAlignment="1">
      <alignment vertical="center"/>
    </xf>
    <xf numFmtId="171" fontId="2" fillId="14" borderId="15" xfId="6" applyNumberFormat="1" applyFont="1" applyFill="1" applyBorder="1" applyAlignment="1">
      <alignment vertical="center"/>
    </xf>
    <xf numFmtId="10" fontId="0" fillId="2" borderId="9" xfId="6" applyNumberFormat="1" applyFont="1" applyFill="1" applyBorder="1" applyAlignment="1">
      <alignment horizontal="center"/>
    </xf>
    <xf numFmtId="171" fontId="0" fillId="13" borderId="9" xfId="7" applyNumberFormat="1" applyFont="1" applyFill="1" applyBorder="1" applyAlignment="1">
      <alignment horizontal="center"/>
    </xf>
    <xf numFmtId="9" fontId="0" fillId="14" borderId="9" xfId="6" applyFont="1" applyFill="1" applyBorder="1" applyAlignment="1">
      <alignment horizontal="center"/>
    </xf>
    <xf numFmtId="171" fontId="2" fillId="4" borderId="16" xfId="7" applyNumberFormat="1" applyFont="1" applyFill="1" applyBorder="1" applyAlignment="1">
      <alignment horizontal="center" vertical="center" wrapText="1"/>
    </xf>
    <xf numFmtId="171" fontId="2" fillId="12" borderId="17" xfId="7" applyNumberFormat="1" applyFont="1" applyFill="1" applyBorder="1" applyAlignment="1">
      <alignment horizontal="center" vertical="center" wrapText="1"/>
    </xf>
    <xf numFmtId="171" fontId="2" fillId="4" borderId="17" xfId="7" applyNumberFormat="1" applyFont="1" applyFill="1" applyBorder="1" applyAlignment="1">
      <alignment horizontal="center" vertical="center" wrapText="1"/>
    </xf>
    <xf numFmtId="171" fontId="2" fillId="2" borderId="17" xfId="7" applyNumberFormat="1" applyFont="1" applyFill="1" applyBorder="1" applyAlignment="1">
      <alignment horizontal="center" vertical="center"/>
    </xf>
    <xf numFmtId="171" fontId="2" fillId="13" borderId="17" xfId="7" applyNumberFormat="1" applyFont="1" applyFill="1" applyBorder="1" applyAlignment="1">
      <alignment horizontal="center" vertical="center"/>
    </xf>
    <xf numFmtId="171" fontId="2" fillId="14" borderId="17" xfId="7" applyNumberFormat="1" applyFont="1" applyFill="1" applyBorder="1" applyAlignment="1">
      <alignment horizontal="center" vertical="center"/>
    </xf>
    <xf numFmtId="0" fontId="12" fillId="16" borderId="15" xfId="0" applyFont="1" applyFill="1" applyBorder="1" applyAlignment="1">
      <alignment horizontal="center" vertical="center" wrapText="1"/>
    </xf>
    <xf numFmtId="0" fontId="12" fillId="16" borderId="14" xfId="0" applyFont="1" applyFill="1" applyBorder="1" applyAlignment="1">
      <alignment horizontal="center" vertical="center" wrapText="1"/>
    </xf>
    <xf numFmtId="10" fontId="12" fillId="2" borderId="15" xfId="6" applyNumberFormat="1" applyFont="1" applyFill="1" applyBorder="1" applyAlignment="1">
      <alignment horizontal="center" vertical="center"/>
    </xf>
    <xf numFmtId="171" fontId="12" fillId="13" borderId="15" xfId="7" applyNumberFormat="1" applyFont="1" applyFill="1" applyBorder="1" applyAlignment="1">
      <alignment horizontal="center" vertical="center"/>
    </xf>
    <xf numFmtId="10" fontId="12" fillId="2" borderId="15" xfId="6" applyNumberFormat="1" applyFont="1" applyFill="1" applyBorder="1" applyAlignment="1">
      <alignment horizontal="right"/>
    </xf>
    <xf numFmtId="171" fontId="12" fillId="13" borderId="15" xfId="7" applyNumberFormat="1" applyFont="1" applyFill="1" applyBorder="1" applyAlignment="1">
      <alignment horizontal="center"/>
    </xf>
    <xf numFmtId="10" fontId="12" fillId="2" borderId="15" xfId="6" applyNumberFormat="1" applyFont="1" applyFill="1" applyBorder="1" applyAlignment="1">
      <alignment horizontal="center"/>
    </xf>
    <xf numFmtId="10" fontId="12" fillId="2" borderId="18" xfId="6" applyNumberFormat="1" applyFont="1" applyFill="1" applyBorder="1" applyAlignment="1">
      <alignment horizontal="center"/>
    </xf>
    <xf numFmtId="171" fontId="12" fillId="13" borderId="18" xfId="7" applyNumberFormat="1" applyFont="1" applyFill="1" applyBorder="1" applyAlignment="1">
      <alignment horizontal="center"/>
    </xf>
    <xf numFmtId="171" fontId="12" fillId="14" borderId="18" xfId="6" applyNumberFormat="1" applyFont="1" applyFill="1" applyBorder="1" applyAlignment="1">
      <alignment horizontal="center"/>
    </xf>
    <xf numFmtId="0" fontId="2" fillId="0" borderId="15" xfId="0" applyFont="1" applyBorder="1" applyAlignment="1">
      <alignment horizontal="center" wrapText="1"/>
    </xf>
    <xf numFmtId="0" fontId="2" fillId="0" borderId="15" xfId="0" applyFont="1" applyBorder="1" applyAlignment="1"/>
    <xf numFmtId="171" fontId="2" fillId="0" borderId="15" xfId="0" applyNumberFormat="1" applyFont="1" applyBorder="1"/>
    <xf numFmtId="10" fontId="2" fillId="2" borderId="15" xfId="6" applyNumberFormat="1" applyFont="1" applyFill="1" applyBorder="1" applyAlignment="1">
      <alignment horizontal="center"/>
    </xf>
    <xf numFmtId="171" fontId="2" fillId="2" borderId="15" xfId="7" applyNumberFormat="1" applyFont="1" applyFill="1" applyBorder="1" applyAlignment="1">
      <alignment horizontal="center"/>
    </xf>
    <xf numFmtId="171" fontId="2" fillId="13" borderId="15" xfId="7" applyNumberFormat="1" applyFont="1" applyFill="1" applyBorder="1" applyAlignment="1">
      <alignment horizontal="center"/>
    </xf>
    <xf numFmtId="171" fontId="2" fillId="2" borderId="15" xfId="7" applyNumberFormat="1" applyFont="1" applyFill="1" applyBorder="1" applyAlignment="1">
      <alignment horizontal="right"/>
    </xf>
    <xf numFmtId="10" fontId="2" fillId="2" borderId="15" xfId="6" applyNumberFormat="1" applyFont="1" applyFill="1" applyBorder="1"/>
    <xf numFmtId="171" fontId="2" fillId="13" borderId="15" xfId="7" applyNumberFormat="1" applyFont="1" applyFill="1" applyBorder="1"/>
    <xf numFmtId="171" fontId="2" fillId="13" borderId="18" xfId="7" applyNumberFormat="1" applyFont="1" applyFill="1" applyBorder="1"/>
    <xf numFmtId="9" fontId="2" fillId="14" borderId="18" xfId="6" applyFont="1" applyFill="1" applyBorder="1"/>
    <xf numFmtId="171" fontId="2" fillId="2" borderId="15" xfId="7" applyNumberFormat="1" applyFont="1" applyFill="1" applyBorder="1"/>
    <xf numFmtId="0" fontId="0" fillId="0" borderId="15" xfId="0" applyBorder="1" applyAlignment="1">
      <alignment horizontal="center" wrapText="1"/>
    </xf>
    <xf numFmtId="0" fontId="0" fillId="0" borderId="15" xfId="0" applyBorder="1" applyAlignment="1"/>
    <xf numFmtId="171" fontId="0" fillId="0" borderId="15" xfId="0" applyNumberFormat="1" applyBorder="1"/>
    <xf numFmtId="10" fontId="2" fillId="2" borderId="15" xfId="6" applyNumberFormat="1" applyFont="1" applyFill="1" applyBorder="1" applyAlignment="1">
      <alignment horizontal="right"/>
    </xf>
    <xf numFmtId="10" fontId="0" fillId="2" borderId="15" xfId="6" applyNumberFormat="1" applyFont="1" applyFill="1" applyBorder="1"/>
    <xf numFmtId="171" fontId="0" fillId="13" borderId="15" xfId="7" applyNumberFormat="1" applyFont="1" applyFill="1" applyBorder="1"/>
    <xf numFmtId="171" fontId="0" fillId="13" borderId="18" xfId="7" applyNumberFormat="1" applyFont="1" applyFill="1" applyBorder="1"/>
    <xf numFmtId="9" fontId="0" fillId="14" borderId="18" xfId="6" applyFont="1" applyFill="1" applyBorder="1"/>
    <xf numFmtId="9" fontId="0" fillId="14" borderId="15" xfId="6" applyFont="1" applyFill="1" applyBorder="1"/>
    <xf numFmtId="0" fontId="0" fillId="0" borderId="15" xfId="0" applyFont="1" applyBorder="1" applyAlignment="1">
      <alignment horizontal="center" wrapText="1"/>
    </xf>
    <xf numFmtId="0" fontId="0" fillId="0" borderId="15" xfId="0" applyFont="1" applyBorder="1" applyAlignment="1"/>
    <xf numFmtId="171" fontId="0" fillId="0" borderId="15" xfId="0" applyNumberFormat="1" applyFont="1" applyBorder="1"/>
    <xf numFmtId="9" fontId="2" fillId="14" borderId="15" xfId="6" applyFont="1" applyFill="1" applyBorder="1"/>
    <xf numFmtId="171" fontId="5" fillId="2" borderId="15" xfId="7" applyNumberFormat="1" applyFont="1" applyFill="1" applyBorder="1" applyAlignment="1">
      <alignment horizontal="center"/>
    </xf>
    <xf numFmtId="167" fontId="2" fillId="0" borderId="15" xfId="0" applyNumberFormat="1" applyFont="1" applyBorder="1" applyAlignment="1"/>
    <xf numFmtId="0" fontId="2" fillId="0" borderId="15" xfId="0" applyFont="1" applyBorder="1"/>
    <xf numFmtId="0" fontId="13" fillId="0" borderId="15" xfId="0" applyFont="1" applyBorder="1" applyAlignment="1">
      <alignment horizontal="center" wrapText="1"/>
    </xf>
    <xf numFmtId="0" fontId="13" fillId="0" borderId="15" xfId="0" applyFont="1" applyBorder="1" applyAlignment="1">
      <alignment horizontal="left"/>
    </xf>
    <xf numFmtId="171" fontId="13" fillId="0" borderId="15" xfId="0" applyNumberFormat="1" applyFont="1" applyBorder="1" applyAlignment="1">
      <alignment horizontal="right"/>
    </xf>
    <xf numFmtId="171" fontId="13" fillId="13" borderId="15" xfId="7" applyNumberFormat="1" applyFont="1" applyFill="1" applyBorder="1" applyAlignment="1">
      <alignment horizontal="right"/>
    </xf>
    <xf numFmtId="9" fontId="13" fillId="14" borderId="15" xfId="6" applyFont="1" applyFill="1" applyBorder="1" applyAlignment="1">
      <alignment horizontal="right"/>
    </xf>
    <xf numFmtId="171" fontId="5" fillId="13" borderId="15" xfId="7" applyNumberFormat="1" applyFont="1" applyFill="1" applyBorder="1"/>
    <xf numFmtId="9" fontId="5" fillId="14" borderId="15" xfId="6" applyFont="1" applyFill="1" applyBorder="1"/>
    <xf numFmtId="0" fontId="13" fillId="0" borderId="15" xfId="0" applyFont="1" applyBorder="1" applyAlignment="1"/>
    <xf numFmtId="171" fontId="13" fillId="0" borderId="15" xfId="0" applyNumberFormat="1" applyFont="1" applyBorder="1"/>
    <xf numFmtId="171" fontId="13" fillId="13" borderId="15" xfId="7" applyNumberFormat="1" applyFont="1" applyFill="1" applyBorder="1"/>
    <xf numFmtId="9" fontId="13" fillId="14" borderId="15" xfId="6" applyFont="1" applyFill="1" applyBorder="1"/>
    <xf numFmtId="171" fontId="13" fillId="2" borderId="15" xfId="0" applyNumberFormat="1" applyFont="1" applyFill="1" applyBorder="1"/>
    <xf numFmtId="164" fontId="5" fillId="2" borderId="8" xfId="6" applyNumberFormat="1" applyFont="1" applyFill="1" applyBorder="1" applyAlignment="1">
      <alignment horizontal="right"/>
    </xf>
    <xf numFmtId="10" fontId="5" fillId="2" borderId="8" xfId="6" applyNumberFormat="1" applyFont="1" applyFill="1" applyBorder="1"/>
    <xf numFmtId="171" fontId="5" fillId="2" borderId="8" xfId="6" applyNumberFormat="1" applyFont="1" applyFill="1" applyBorder="1"/>
    <xf numFmtId="171" fontId="5" fillId="13" borderId="8" xfId="7" applyNumberFormat="1" applyFont="1" applyFill="1" applyBorder="1"/>
    <xf numFmtId="9" fontId="5" fillId="14" borderId="13" xfId="6" applyFont="1" applyFill="1" applyBorder="1"/>
    <xf numFmtId="167" fontId="0" fillId="0" borderId="15" xfId="0" applyNumberFormat="1" applyBorder="1" applyAlignment="1"/>
    <xf numFmtId="171" fontId="0" fillId="2" borderId="15" xfId="7" applyNumberFormat="1" applyFont="1" applyFill="1" applyBorder="1" applyAlignment="1">
      <alignment horizontal="center"/>
    </xf>
    <xf numFmtId="171" fontId="0" fillId="13" borderId="15" xfId="7" applyNumberFormat="1" applyFont="1" applyFill="1" applyBorder="1" applyAlignment="1">
      <alignment horizontal="center"/>
    </xf>
    <xf numFmtId="171" fontId="0" fillId="2" borderId="15" xfId="7" applyNumberFormat="1" applyFont="1" applyFill="1" applyBorder="1" applyAlignment="1">
      <alignment horizontal="right"/>
    </xf>
    <xf numFmtId="171" fontId="0" fillId="2" borderId="15" xfId="7" applyNumberFormat="1" applyFont="1" applyFill="1" applyBorder="1"/>
    <xf numFmtId="171" fontId="0" fillId="2" borderId="15" xfId="6" applyNumberFormat="1" applyFont="1" applyFill="1" applyBorder="1" applyAlignment="1">
      <alignment horizontal="center"/>
    </xf>
    <xf numFmtId="10" fontId="0" fillId="2" borderId="15" xfId="6" applyNumberFormat="1" applyFont="1" applyFill="1" applyBorder="1" applyAlignment="1">
      <alignment horizontal="right"/>
    </xf>
    <xf numFmtId="171" fontId="0" fillId="2" borderId="15" xfId="6" applyNumberFormat="1" applyFont="1" applyFill="1" applyBorder="1" applyAlignment="1">
      <alignment horizontal="right"/>
    </xf>
    <xf numFmtId="171" fontId="2" fillId="2" borderId="15" xfId="6" applyNumberFormat="1" applyFont="1" applyFill="1" applyBorder="1" applyAlignment="1">
      <alignment horizontal="right"/>
    </xf>
    <xf numFmtId="171" fontId="2" fillId="2" borderId="15" xfId="6" applyNumberFormat="1" applyFont="1" applyFill="1" applyBorder="1"/>
    <xf numFmtId="171" fontId="2" fillId="2" borderId="15" xfId="6" applyNumberFormat="1" applyFont="1" applyFill="1" applyBorder="1" applyAlignment="1">
      <alignment horizontal="center" vertical="center"/>
    </xf>
    <xf numFmtId="171" fontId="2" fillId="14" borderId="18" xfId="6" applyNumberFormat="1" applyFont="1" applyFill="1" applyBorder="1"/>
    <xf numFmtId="171" fontId="13" fillId="2" borderId="15" xfId="7" applyNumberFormat="1" applyFont="1" applyFill="1" applyBorder="1" applyAlignment="1">
      <alignment horizontal="center"/>
    </xf>
    <xf numFmtId="164" fontId="0" fillId="0" borderId="0" xfId="0" applyNumberFormat="1"/>
    <xf numFmtId="3" fontId="0" fillId="0" borderId="15" xfId="0" applyNumberFormat="1" applyBorder="1" applyAlignment="1">
      <alignment horizontal="right"/>
    </xf>
    <xf numFmtId="3" fontId="0" fillId="4" borderId="15" xfId="0" applyNumberFormat="1" applyFill="1" applyBorder="1" applyAlignment="1">
      <alignment horizontal="right"/>
    </xf>
    <xf numFmtId="167" fontId="0" fillId="4" borderId="15" xfId="0" applyNumberFormat="1" applyFill="1" applyBorder="1" applyAlignment="1">
      <alignment horizontal="right"/>
    </xf>
    <xf numFmtId="3" fontId="0" fillId="4" borderId="15" xfId="0" applyNumberFormat="1" applyFont="1" applyFill="1" applyBorder="1" applyAlignment="1">
      <alignment horizontal="right"/>
    </xf>
    <xf numFmtId="171" fontId="2" fillId="2" borderId="8" xfId="6" applyNumberFormat="1" applyFont="1" applyFill="1" applyBorder="1" applyAlignment="1">
      <alignment horizontal="center"/>
    </xf>
    <xf numFmtId="0" fontId="0" fillId="0" borderId="15" xfId="0" applyBorder="1" applyAlignment="1"/>
    <xf numFmtId="171" fontId="0" fillId="0" borderId="0" xfId="0" applyNumberFormat="1"/>
    <xf numFmtId="171" fontId="2" fillId="2" borderId="18" xfId="7" applyNumberFormat="1" applyFont="1" applyFill="1" applyBorder="1"/>
    <xf numFmtId="171" fontId="2" fillId="2" borderId="18" xfId="7" applyNumberFormat="1" applyFont="1" applyFill="1" applyBorder="1" applyAlignment="1">
      <alignment horizontal="center"/>
    </xf>
    <xf numFmtId="171" fontId="13" fillId="2" borderId="15" xfId="7" applyNumberFormat="1" applyFont="1" applyFill="1" applyBorder="1"/>
    <xf numFmtId="171" fontId="13" fillId="2" borderId="15" xfId="7" applyNumberFormat="1" applyFont="1" applyFill="1" applyBorder="1" applyAlignment="1">
      <alignment horizontal="right"/>
    </xf>
    <xf numFmtId="0" fontId="0" fillId="2" borderId="0" xfId="0" applyFill="1"/>
    <xf numFmtId="171" fontId="5" fillId="2" borderId="8" xfId="7" applyNumberFormat="1" applyFont="1" applyFill="1" applyBorder="1" applyAlignment="1">
      <alignment horizontal="center"/>
    </xf>
    <xf numFmtId="171" fontId="5" fillId="2" borderId="8" xfId="7" applyNumberFormat="1" applyFont="1" applyFill="1" applyBorder="1"/>
    <xf numFmtId="171" fontId="12" fillId="2" borderId="15" xfId="7" applyNumberFormat="1" applyFont="1" applyFill="1" applyBorder="1" applyAlignment="1">
      <alignment horizontal="center"/>
    </xf>
    <xf numFmtId="171" fontId="13" fillId="2" borderId="15" xfId="6" applyNumberFormat="1" applyFont="1" applyFill="1" applyBorder="1" applyAlignment="1">
      <alignment horizontal="center"/>
    </xf>
    <xf numFmtId="171" fontId="0" fillId="14" borderId="18" xfId="6" applyNumberFormat="1" applyFont="1" applyFill="1" applyBorder="1"/>
    <xf numFmtId="172" fontId="0" fillId="14" borderId="15" xfId="6" applyNumberFormat="1" applyFont="1" applyFill="1" applyBorder="1"/>
    <xf numFmtId="173" fontId="4" fillId="0" borderId="0" xfId="4" applyNumberFormat="1" applyFont="1" applyFill="1" applyAlignment="1"/>
    <xf numFmtId="0" fontId="0" fillId="0" borderId="7" xfId="0" applyBorder="1" applyAlignment="1">
      <alignment horizontal="center"/>
    </xf>
    <xf numFmtId="0" fontId="0" fillId="0" borderId="9" xfId="0" applyBorder="1" applyAlignment="1">
      <alignment horizontal="center"/>
    </xf>
    <xf numFmtId="3" fontId="6"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xf>
    <xf numFmtId="3" fontId="8" fillId="6" borderId="0" xfId="0" applyNumberFormat="1" applyFont="1" applyFill="1" applyBorder="1" applyAlignment="1">
      <alignment horizontal="center" vertical="center"/>
    </xf>
    <xf numFmtId="3" fontId="9" fillId="0" borderId="3" xfId="0" applyNumberFormat="1" applyFont="1" applyFill="1" applyBorder="1" applyAlignment="1">
      <alignment horizontal="center" vertical="center" wrapText="1"/>
    </xf>
    <xf numFmtId="0" fontId="0" fillId="0" borderId="8" xfId="0" applyBorder="1" applyAlignment="1">
      <alignment horizontal="center"/>
    </xf>
    <xf numFmtId="0" fontId="2" fillId="15" borderId="15" xfId="0" applyFont="1" applyFill="1" applyBorder="1" applyAlignment="1">
      <alignment horizontal="center" vertical="center" wrapText="1"/>
    </xf>
    <xf numFmtId="9" fontId="0" fillId="15" borderId="7" xfId="6" applyNumberFormat="1" applyFont="1" applyFill="1" applyBorder="1" applyAlignment="1">
      <alignment horizontal="center"/>
    </xf>
    <xf numFmtId="0" fontId="2" fillId="15" borderId="15" xfId="0" applyFont="1" applyFill="1" applyBorder="1" applyAlignment="1">
      <alignment horizontal="center" vertical="center"/>
    </xf>
    <xf numFmtId="171" fontId="2" fillId="15" borderId="8" xfId="0" applyNumberFormat="1" applyFont="1" applyFill="1" applyBorder="1" applyAlignment="1">
      <alignment horizontal="center"/>
    </xf>
    <xf numFmtId="171" fontId="2" fillId="15" borderId="13" xfId="0" applyNumberFormat="1" applyFont="1" applyFill="1" applyBorder="1" applyAlignment="1">
      <alignment horizontal="center"/>
    </xf>
  </cellXfs>
  <cellStyles count="8">
    <cellStyle name="Comma" xfId="4" builtinId="3"/>
    <cellStyle name="Comma 2" xfId="2"/>
    <cellStyle name="Comma 2 2" xfId="5"/>
    <cellStyle name="Currency" xfId="7" builtinId="4"/>
    <cellStyle name="Normal" xfId="0" builtinId="0"/>
    <cellStyle name="Normal 2" xfId="1"/>
    <cellStyle name="Percent" xfId="6"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7" Type="http://schemas.openxmlformats.org/officeDocument/2006/relationships/customXml" Target="../customXml/item1.xml"/><Relationship Id="rId18" Type="http://schemas.openxmlformats.org/officeDocument/2006/relationships/customXml" Target="../customXml/item2.xml"/><Relationship Id="rId19"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1" sqref="A11"/>
    </sheetView>
  </sheetViews>
  <sheetFormatPr baseColWidth="10" defaultColWidth="8.83203125" defaultRowHeight="14" x14ac:dyDescent="0"/>
  <cols>
    <col min="1" max="1" width="52" bestFit="1" customWidth="1"/>
  </cols>
  <sheetData>
    <row r="1" spans="1:1">
      <c r="A1" s="62" t="s">
        <v>161</v>
      </c>
    </row>
    <row r="2" spans="1:1" ht="56">
      <c r="A2" s="137" t="s">
        <v>162</v>
      </c>
    </row>
    <row r="3" spans="1:1">
      <c r="A3" s="62"/>
    </row>
  </sheetData>
  <pageMargins left="0.7" right="0.7" top="0.75" bottom="0.75" header="0.3" footer="0.3"/>
  <pageSetup orientation="portrait" verticalDpi="598"/>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I94"/>
  <sheetViews>
    <sheetView workbookViewId="0">
      <pane ySplit="9" topLeftCell="A10" activePane="bottomLeft" state="frozen"/>
      <selection activeCell="F76" sqref="F76"/>
      <selection pane="bottomLeft" sqref="A1:AB1"/>
    </sheetView>
  </sheetViews>
  <sheetFormatPr baseColWidth="10" defaultColWidth="9.1640625" defaultRowHeight="11" x14ac:dyDescent="0"/>
  <cols>
    <col min="1" max="1" width="30.1640625" style="72" customWidth="1"/>
    <col min="2" max="2" width="30.1640625" style="72" hidden="1" customWidth="1"/>
    <col min="3" max="3" width="20.1640625" style="72" customWidth="1"/>
    <col min="4" max="4" width="20.1640625" style="72" hidden="1" customWidth="1"/>
    <col min="5" max="5" width="20.1640625" style="72" customWidth="1"/>
    <col min="6" max="6" width="20.1640625" style="72" hidden="1" customWidth="1"/>
    <col min="7" max="7" width="17.1640625" style="72" customWidth="1"/>
    <col min="8" max="8" width="17.1640625" style="72" hidden="1" customWidth="1"/>
    <col min="9" max="9" width="17.1640625" style="72" customWidth="1"/>
    <col min="10" max="10" width="17.1640625" style="72" hidden="1" customWidth="1"/>
    <col min="11" max="11" width="20.6640625" style="72" customWidth="1"/>
    <col min="12" max="12" width="20.6640625" style="72" hidden="1" customWidth="1"/>
    <col min="13" max="13" width="20" style="72" customWidth="1"/>
    <col min="14" max="14" width="20" style="72" hidden="1" customWidth="1"/>
    <col min="15" max="15" width="17.5" style="72" customWidth="1"/>
    <col min="16" max="16" width="17.5" style="72" hidden="1" customWidth="1"/>
    <col min="17" max="17" width="19.83203125" style="72" customWidth="1"/>
    <col min="18" max="18" width="19.83203125" style="72" hidden="1" customWidth="1"/>
    <col min="19" max="19" width="17.1640625" style="72" customWidth="1"/>
    <col min="20" max="20" width="17.1640625" style="72" hidden="1" customWidth="1"/>
    <col min="21" max="21" width="17.1640625" style="72" customWidth="1"/>
    <col min="22" max="22" width="17.1640625" style="72" hidden="1" customWidth="1"/>
    <col min="23" max="23" width="15.83203125" style="72" customWidth="1"/>
    <col min="24" max="24" width="15.83203125" style="72" hidden="1" customWidth="1"/>
    <col min="25" max="25" width="15.5" style="72" customWidth="1"/>
    <col min="26" max="26" width="16.6640625" style="72" customWidth="1"/>
    <col min="27" max="27" width="15.5" style="72" customWidth="1"/>
    <col min="28" max="28" width="16" style="72" customWidth="1"/>
    <col min="29" max="29" width="13.5" style="72" hidden="1" customWidth="1"/>
    <col min="30" max="30" width="17.33203125" style="72" hidden="1" customWidth="1"/>
    <col min="31" max="31" width="16.5" style="72" bestFit="1" customWidth="1"/>
    <col min="32" max="32" width="10.83203125" style="72" bestFit="1" customWidth="1"/>
    <col min="33" max="269" width="9.1640625" style="72"/>
    <col min="270" max="270" width="29.33203125" style="72" customWidth="1"/>
    <col min="271" max="272" width="20.1640625" style="72" customWidth="1"/>
    <col min="273" max="274" width="17.1640625" style="72" customWidth="1"/>
    <col min="275" max="275" width="21.5" style="72" customWidth="1"/>
    <col min="276" max="276" width="18.33203125" style="72" customWidth="1"/>
    <col min="277" max="277" width="28.5" style="72" customWidth="1"/>
    <col min="278" max="278" width="21" style="72" customWidth="1"/>
    <col min="279" max="279" width="17.5" style="72" customWidth="1"/>
    <col min="280" max="280" width="22.6640625" style="72" customWidth="1"/>
    <col min="281" max="281" width="17.1640625" style="72" customWidth="1"/>
    <col min="282" max="282" width="15.83203125" style="72" customWidth="1"/>
    <col min="283" max="283" width="15.5" style="72" customWidth="1"/>
    <col min="284" max="284" width="16" style="72" customWidth="1"/>
    <col min="285" max="285" width="9.1640625" style="72" customWidth="1"/>
    <col min="286" max="286" width="17.33203125" style="72" customWidth="1"/>
    <col min="287" max="287" width="16.5" style="72" bestFit="1" customWidth="1"/>
    <col min="288" max="288" width="10.83203125" style="72" bestFit="1" customWidth="1"/>
    <col min="289" max="525" width="9.1640625" style="72"/>
    <col min="526" max="526" width="29.33203125" style="72" customWidth="1"/>
    <col min="527" max="528" width="20.1640625" style="72" customWidth="1"/>
    <col min="529" max="530" width="17.1640625" style="72" customWidth="1"/>
    <col min="531" max="531" width="21.5" style="72" customWidth="1"/>
    <col min="532" max="532" width="18.33203125" style="72" customWidth="1"/>
    <col min="533" max="533" width="28.5" style="72" customWidth="1"/>
    <col min="534" max="534" width="21" style="72" customWidth="1"/>
    <col min="535" max="535" width="17.5" style="72" customWidth="1"/>
    <col min="536" max="536" width="22.6640625" style="72" customWidth="1"/>
    <col min="537" max="537" width="17.1640625" style="72" customWidth="1"/>
    <col min="538" max="538" width="15.83203125" style="72" customWidth="1"/>
    <col min="539" max="539" width="15.5" style="72" customWidth="1"/>
    <col min="540" max="540" width="16" style="72" customWidth="1"/>
    <col min="541" max="541" width="9.1640625" style="72" customWidth="1"/>
    <col min="542" max="542" width="17.33203125" style="72" customWidth="1"/>
    <col min="543" max="543" width="16.5" style="72" bestFit="1" customWidth="1"/>
    <col min="544" max="544" width="10.83203125" style="72" bestFit="1" customWidth="1"/>
    <col min="545" max="781" width="9.1640625" style="72"/>
    <col min="782" max="782" width="29.33203125" style="72" customWidth="1"/>
    <col min="783" max="784" width="20.1640625" style="72" customWidth="1"/>
    <col min="785" max="786" width="17.1640625" style="72" customWidth="1"/>
    <col min="787" max="787" width="21.5" style="72" customWidth="1"/>
    <col min="788" max="788" width="18.33203125" style="72" customWidth="1"/>
    <col min="789" max="789" width="28.5" style="72" customWidth="1"/>
    <col min="790" max="790" width="21" style="72" customWidth="1"/>
    <col min="791" max="791" width="17.5" style="72" customWidth="1"/>
    <col min="792" max="792" width="22.6640625" style="72" customWidth="1"/>
    <col min="793" max="793" width="17.1640625" style="72" customWidth="1"/>
    <col min="794" max="794" width="15.83203125" style="72" customWidth="1"/>
    <col min="795" max="795" width="15.5" style="72" customWidth="1"/>
    <col min="796" max="796" width="16" style="72" customWidth="1"/>
    <col min="797" max="797" width="9.1640625" style="72" customWidth="1"/>
    <col min="798" max="798" width="17.33203125" style="72" customWidth="1"/>
    <col min="799" max="799" width="16.5" style="72" bestFit="1" customWidth="1"/>
    <col min="800" max="800" width="10.83203125" style="72" bestFit="1" customWidth="1"/>
    <col min="801" max="1037" width="9.1640625" style="72"/>
    <col min="1038" max="1038" width="29.33203125" style="72" customWidth="1"/>
    <col min="1039" max="1040" width="20.1640625" style="72" customWidth="1"/>
    <col min="1041" max="1042" width="17.1640625" style="72" customWidth="1"/>
    <col min="1043" max="1043" width="21.5" style="72" customWidth="1"/>
    <col min="1044" max="1044" width="18.33203125" style="72" customWidth="1"/>
    <col min="1045" max="1045" width="28.5" style="72" customWidth="1"/>
    <col min="1046" max="1046" width="21" style="72" customWidth="1"/>
    <col min="1047" max="1047" width="17.5" style="72" customWidth="1"/>
    <col min="1048" max="1048" width="22.6640625" style="72" customWidth="1"/>
    <col min="1049" max="1049" width="17.1640625" style="72" customWidth="1"/>
    <col min="1050" max="1050" width="15.83203125" style="72" customWidth="1"/>
    <col min="1051" max="1051" width="15.5" style="72" customWidth="1"/>
    <col min="1052" max="1052" width="16" style="72" customWidth="1"/>
    <col min="1053" max="1053" width="9.1640625" style="72" customWidth="1"/>
    <col min="1054" max="1054" width="17.33203125" style="72" customWidth="1"/>
    <col min="1055" max="1055" width="16.5" style="72" bestFit="1" customWidth="1"/>
    <col min="1056" max="1056" width="10.83203125" style="72" bestFit="1" customWidth="1"/>
    <col min="1057" max="1293" width="9.1640625" style="72"/>
    <col min="1294" max="1294" width="29.33203125" style="72" customWidth="1"/>
    <col min="1295" max="1296" width="20.1640625" style="72" customWidth="1"/>
    <col min="1297" max="1298" width="17.1640625" style="72" customWidth="1"/>
    <col min="1299" max="1299" width="21.5" style="72" customWidth="1"/>
    <col min="1300" max="1300" width="18.33203125" style="72" customWidth="1"/>
    <col min="1301" max="1301" width="28.5" style="72" customWidth="1"/>
    <col min="1302" max="1302" width="21" style="72" customWidth="1"/>
    <col min="1303" max="1303" width="17.5" style="72" customWidth="1"/>
    <col min="1304" max="1304" width="22.6640625" style="72" customWidth="1"/>
    <col min="1305" max="1305" width="17.1640625" style="72" customWidth="1"/>
    <col min="1306" max="1306" width="15.83203125" style="72" customWidth="1"/>
    <col min="1307" max="1307" width="15.5" style="72" customWidth="1"/>
    <col min="1308" max="1308" width="16" style="72" customWidth="1"/>
    <col min="1309" max="1309" width="9.1640625" style="72" customWidth="1"/>
    <col min="1310" max="1310" width="17.33203125" style="72" customWidth="1"/>
    <col min="1311" max="1311" width="16.5" style="72" bestFit="1" customWidth="1"/>
    <col min="1312" max="1312" width="10.83203125" style="72" bestFit="1" customWidth="1"/>
    <col min="1313" max="1549" width="9.1640625" style="72"/>
    <col min="1550" max="1550" width="29.33203125" style="72" customWidth="1"/>
    <col min="1551" max="1552" width="20.1640625" style="72" customWidth="1"/>
    <col min="1553" max="1554" width="17.1640625" style="72" customWidth="1"/>
    <col min="1555" max="1555" width="21.5" style="72" customWidth="1"/>
    <col min="1556" max="1556" width="18.33203125" style="72" customWidth="1"/>
    <col min="1557" max="1557" width="28.5" style="72" customWidth="1"/>
    <col min="1558" max="1558" width="21" style="72" customWidth="1"/>
    <col min="1559" max="1559" width="17.5" style="72" customWidth="1"/>
    <col min="1560" max="1560" width="22.6640625" style="72" customWidth="1"/>
    <col min="1561" max="1561" width="17.1640625" style="72" customWidth="1"/>
    <col min="1562" max="1562" width="15.83203125" style="72" customWidth="1"/>
    <col min="1563" max="1563" width="15.5" style="72" customWidth="1"/>
    <col min="1564" max="1564" width="16" style="72" customWidth="1"/>
    <col min="1565" max="1565" width="9.1640625" style="72" customWidth="1"/>
    <col min="1566" max="1566" width="17.33203125" style="72" customWidth="1"/>
    <col min="1567" max="1567" width="16.5" style="72" bestFit="1" customWidth="1"/>
    <col min="1568" max="1568" width="10.83203125" style="72" bestFit="1" customWidth="1"/>
    <col min="1569" max="1805" width="9.1640625" style="72"/>
    <col min="1806" max="1806" width="29.33203125" style="72" customWidth="1"/>
    <col min="1807" max="1808" width="20.1640625" style="72" customWidth="1"/>
    <col min="1809" max="1810" width="17.1640625" style="72" customWidth="1"/>
    <col min="1811" max="1811" width="21.5" style="72" customWidth="1"/>
    <col min="1812" max="1812" width="18.33203125" style="72" customWidth="1"/>
    <col min="1813" max="1813" width="28.5" style="72" customWidth="1"/>
    <col min="1814" max="1814" width="21" style="72" customWidth="1"/>
    <col min="1815" max="1815" width="17.5" style="72" customWidth="1"/>
    <col min="1816" max="1816" width="22.6640625" style="72" customWidth="1"/>
    <col min="1817" max="1817" width="17.1640625" style="72" customWidth="1"/>
    <col min="1818" max="1818" width="15.83203125" style="72" customWidth="1"/>
    <col min="1819" max="1819" width="15.5" style="72" customWidth="1"/>
    <col min="1820" max="1820" width="16" style="72" customWidth="1"/>
    <col min="1821" max="1821" width="9.1640625" style="72" customWidth="1"/>
    <col min="1822" max="1822" width="17.33203125" style="72" customWidth="1"/>
    <col min="1823" max="1823" width="16.5" style="72" bestFit="1" customWidth="1"/>
    <col min="1824" max="1824" width="10.83203125" style="72" bestFit="1" customWidth="1"/>
    <col min="1825" max="2061" width="9.1640625" style="72"/>
    <col min="2062" max="2062" width="29.33203125" style="72" customWidth="1"/>
    <col min="2063" max="2064" width="20.1640625" style="72" customWidth="1"/>
    <col min="2065" max="2066" width="17.1640625" style="72" customWidth="1"/>
    <col min="2067" max="2067" width="21.5" style="72" customWidth="1"/>
    <col min="2068" max="2068" width="18.33203125" style="72" customWidth="1"/>
    <col min="2069" max="2069" width="28.5" style="72" customWidth="1"/>
    <col min="2070" max="2070" width="21" style="72" customWidth="1"/>
    <col min="2071" max="2071" width="17.5" style="72" customWidth="1"/>
    <col min="2072" max="2072" width="22.6640625" style="72" customWidth="1"/>
    <col min="2073" max="2073" width="17.1640625" style="72" customWidth="1"/>
    <col min="2074" max="2074" width="15.83203125" style="72" customWidth="1"/>
    <col min="2075" max="2075" width="15.5" style="72" customWidth="1"/>
    <col min="2076" max="2076" width="16" style="72" customWidth="1"/>
    <col min="2077" max="2077" width="9.1640625" style="72" customWidth="1"/>
    <col min="2078" max="2078" width="17.33203125" style="72" customWidth="1"/>
    <col min="2079" max="2079" width="16.5" style="72" bestFit="1" customWidth="1"/>
    <col min="2080" max="2080" width="10.83203125" style="72" bestFit="1" customWidth="1"/>
    <col min="2081" max="2317" width="9.1640625" style="72"/>
    <col min="2318" max="2318" width="29.33203125" style="72" customWidth="1"/>
    <col min="2319" max="2320" width="20.1640625" style="72" customWidth="1"/>
    <col min="2321" max="2322" width="17.1640625" style="72" customWidth="1"/>
    <col min="2323" max="2323" width="21.5" style="72" customWidth="1"/>
    <col min="2324" max="2324" width="18.33203125" style="72" customWidth="1"/>
    <col min="2325" max="2325" width="28.5" style="72" customWidth="1"/>
    <col min="2326" max="2326" width="21" style="72" customWidth="1"/>
    <col min="2327" max="2327" width="17.5" style="72" customWidth="1"/>
    <col min="2328" max="2328" width="22.6640625" style="72" customWidth="1"/>
    <col min="2329" max="2329" width="17.1640625" style="72" customWidth="1"/>
    <col min="2330" max="2330" width="15.83203125" style="72" customWidth="1"/>
    <col min="2331" max="2331" width="15.5" style="72" customWidth="1"/>
    <col min="2332" max="2332" width="16" style="72" customWidth="1"/>
    <col min="2333" max="2333" width="9.1640625" style="72" customWidth="1"/>
    <col min="2334" max="2334" width="17.33203125" style="72" customWidth="1"/>
    <col min="2335" max="2335" width="16.5" style="72" bestFit="1" customWidth="1"/>
    <col min="2336" max="2336" width="10.83203125" style="72" bestFit="1" customWidth="1"/>
    <col min="2337" max="2573" width="9.1640625" style="72"/>
    <col min="2574" max="2574" width="29.33203125" style="72" customWidth="1"/>
    <col min="2575" max="2576" width="20.1640625" style="72" customWidth="1"/>
    <col min="2577" max="2578" width="17.1640625" style="72" customWidth="1"/>
    <col min="2579" max="2579" width="21.5" style="72" customWidth="1"/>
    <col min="2580" max="2580" width="18.33203125" style="72" customWidth="1"/>
    <col min="2581" max="2581" width="28.5" style="72" customWidth="1"/>
    <col min="2582" max="2582" width="21" style="72" customWidth="1"/>
    <col min="2583" max="2583" width="17.5" style="72" customWidth="1"/>
    <col min="2584" max="2584" width="22.6640625" style="72" customWidth="1"/>
    <col min="2585" max="2585" width="17.1640625" style="72" customWidth="1"/>
    <col min="2586" max="2586" width="15.83203125" style="72" customWidth="1"/>
    <col min="2587" max="2587" width="15.5" style="72" customWidth="1"/>
    <col min="2588" max="2588" width="16" style="72" customWidth="1"/>
    <col min="2589" max="2589" width="9.1640625" style="72" customWidth="1"/>
    <col min="2590" max="2590" width="17.33203125" style="72" customWidth="1"/>
    <col min="2591" max="2591" width="16.5" style="72" bestFit="1" customWidth="1"/>
    <col min="2592" max="2592" width="10.83203125" style="72" bestFit="1" customWidth="1"/>
    <col min="2593" max="2829" width="9.1640625" style="72"/>
    <col min="2830" max="2830" width="29.33203125" style="72" customWidth="1"/>
    <col min="2831" max="2832" width="20.1640625" style="72" customWidth="1"/>
    <col min="2833" max="2834" width="17.1640625" style="72" customWidth="1"/>
    <col min="2835" max="2835" width="21.5" style="72" customWidth="1"/>
    <col min="2836" max="2836" width="18.33203125" style="72" customWidth="1"/>
    <col min="2837" max="2837" width="28.5" style="72" customWidth="1"/>
    <col min="2838" max="2838" width="21" style="72" customWidth="1"/>
    <col min="2839" max="2839" width="17.5" style="72" customWidth="1"/>
    <col min="2840" max="2840" width="22.6640625" style="72" customWidth="1"/>
    <col min="2841" max="2841" width="17.1640625" style="72" customWidth="1"/>
    <col min="2842" max="2842" width="15.83203125" style="72" customWidth="1"/>
    <col min="2843" max="2843" width="15.5" style="72" customWidth="1"/>
    <col min="2844" max="2844" width="16" style="72" customWidth="1"/>
    <col min="2845" max="2845" width="9.1640625" style="72" customWidth="1"/>
    <col min="2846" max="2846" width="17.33203125" style="72" customWidth="1"/>
    <col min="2847" max="2847" width="16.5" style="72" bestFit="1" customWidth="1"/>
    <col min="2848" max="2848" width="10.83203125" style="72" bestFit="1" customWidth="1"/>
    <col min="2849" max="3085" width="9.1640625" style="72"/>
    <col min="3086" max="3086" width="29.33203125" style="72" customWidth="1"/>
    <col min="3087" max="3088" width="20.1640625" style="72" customWidth="1"/>
    <col min="3089" max="3090" width="17.1640625" style="72" customWidth="1"/>
    <col min="3091" max="3091" width="21.5" style="72" customWidth="1"/>
    <col min="3092" max="3092" width="18.33203125" style="72" customWidth="1"/>
    <col min="3093" max="3093" width="28.5" style="72" customWidth="1"/>
    <col min="3094" max="3094" width="21" style="72" customWidth="1"/>
    <col min="3095" max="3095" width="17.5" style="72" customWidth="1"/>
    <col min="3096" max="3096" width="22.6640625" style="72" customWidth="1"/>
    <col min="3097" max="3097" width="17.1640625" style="72" customWidth="1"/>
    <col min="3098" max="3098" width="15.83203125" style="72" customWidth="1"/>
    <col min="3099" max="3099" width="15.5" style="72" customWidth="1"/>
    <col min="3100" max="3100" width="16" style="72" customWidth="1"/>
    <col min="3101" max="3101" width="9.1640625" style="72" customWidth="1"/>
    <col min="3102" max="3102" width="17.33203125" style="72" customWidth="1"/>
    <col min="3103" max="3103" width="16.5" style="72" bestFit="1" customWidth="1"/>
    <col min="3104" max="3104" width="10.83203125" style="72" bestFit="1" customWidth="1"/>
    <col min="3105" max="3341" width="9.1640625" style="72"/>
    <col min="3342" max="3342" width="29.33203125" style="72" customWidth="1"/>
    <col min="3343" max="3344" width="20.1640625" style="72" customWidth="1"/>
    <col min="3345" max="3346" width="17.1640625" style="72" customWidth="1"/>
    <col min="3347" max="3347" width="21.5" style="72" customWidth="1"/>
    <col min="3348" max="3348" width="18.33203125" style="72" customWidth="1"/>
    <col min="3349" max="3349" width="28.5" style="72" customWidth="1"/>
    <col min="3350" max="3350" width="21" style="72" customWidth="1"/>
    <col min="3351" max="3351" width="17.5" style="72" customWidth="1"/>
    <col min="3352" max="3352" width="22.6640625" style="72" customWidth="1"/>
    <col min="3353" max="3353" width="17.1640625" style="72" customWidth="1"/>
    <col min="3354" max="3354" width="15.83203125" style="72" customWidth="1"/>
    <col min="3355" max="3355" width="15.5" style="72" customWidth="1"/>
    <col min="3356" max="3356" width="16" style="72" customWidth="1"/>
    <col min="3357" max="3357" width="9.1640625" style="72" customWidth="1"/>
    <col min="3358" max="3358" width="17.33203125" style="72" customWidth="1"/>
    <col min="3359" max="3359" width="16.5" style="72" bestFit="1" customWidth="1"/>
    <col min="3360" max="3360" width="10.83203125" style="72" bestFit="1" customWidth="1"/>
    <col min="3361" max="3597" width="9.1640625" style="72"/>
    <col min="3598" max="3598" width="29.33203125" style="72" customWidth="1"/>
    <col min="3599" max="3600" width="20.1640625" style="72" customWidth="1"/>
    <col min="3601" max="3602" width="17.1640625" style="72" customWidth="1"/>
    <col min="3603" max="3603" width="21.5" style="72" customWidth="1"/>
    <col min="3604" max="3604" width="18.33203125" style="72" customWidth="1"/>
    <col min="3605" max="3605" width="28.5" style="72" customWidth="1"/>
    <col min="3606" max="3606" width="21" style="72" customWidth="1"/>
    <col min="3607" max="3607" width="17.5" style="72" customWidth="1"/>
    <col min="3608" max="3608" width="22.6640625" style="72" customWidth="1"/>
    <col min="3609" max="3609" width="17.1640625" style="72" customWidth="1"/>
    <col min="3610" max="3610" width="15.83203125" style="72" customWidth="1"/>
    <col min="3611" max="3611" width="15.5" style="72" customWidth="1"/>
    <col min="3612" max="3612" width="16" style="72" customWidth="1"/>
    <col min="3613" max="3613" width="9.1640625" style="72" customWidth="1"/>
    <col min="3614" max="3614" width="17.33203125" style="72" customWidth="1"/>
    <col min="3615" max="3615" width="16.5" style="72" bestFit="1" customWidth="1"/>
    <col min="3616" max="3616" width="10.83203125" style="72" bestFit="1" customWidth="1"/>
    <col min="3617" max="3853" width="9.1640625" style="72"/>
    <col min="3854" max="3854" width="29.33203125" style="72" customWidth="1"/>
    <col min="3855" max="3856" width="20.1640625" style="72" customWidth="1"/>
    <col min="3857" max="3858" width="17.1640625" style="72" customWidth="1"/>
    <col min="3859" max="3859" width="21.5" style="72" customWidth="1"/>
    <col min="3860" max="3860" width="18.33203125" style="72" customWidth="1"/>
    <col min="3861" max="3861" width="28.5" style="72" customWidth="1"/>
    <col min="3862" max="3862" width="21" style="72" customWidth="1"/>
    <col min="3863" max="3863" width="17.5" style="72" customWidth="1"/>
    <col min="3864" max="3864" width="22.6640625" style="72" customWidth="1"/>
    <col min="3865" max="3865" width="17.1640625" style="72" customWidth="1"/>
    <col min="3866" max="3866" width="15.83203125" style="72" customWidth="1"/>
    <col min="3867" max="3867" width="15.5" style="72" customWidth="1"/>
    <col min="3868" max="3868" width="16" style="72" customWidth="1"/>
    <col min="3869" max="3869" width="9.1640625" style="72" customWidth="1"/>
    <col min="3870" max="3870" width="17.33203125" style="72" customWidth="1"/>
    <col min="3871" max="3871" width="16.5" style="72" bestFit="1" customWidth="1"/>
    <col min="3872" max="3872" width="10.83203125" style="72" bestFit="1" customWidth="1"/>
    <col min="3873" max="4109" width="9.1640625" style="72"/>
    <col min="4110" max="4110" width="29.33203125" style="72" customWidth="1"/>
    <col min="4111" max="4112" width="20.1640625" style="72" customWidth="1"/>
    <col min="4113" max="4114" width="17.1640625" style="72" customWidth="1"/>
    <col min="4115" max="4115" width="21.5" style="72" customWidth="1"/>
    <col min="4116" max="4116" width="18.33203125" style="72" customWidth="1"/>
    <col min="4117" max="4117" width="28.5" style="72" customWidth="1"/>
    <col min="4118" max="4118" width="21" style="72" customWidth="1"/>
    <col min="4119" max="4119" width="17.5" style="72" customWidth="1"/>
    <col min="4120" max="4120" width="22.6640625" style="72" customWidth="1"/>
    <col min="4121" max="4121" width="17.1640625" style="72" customWidth="1"/>
    <col min="4122" max="4122" width="15.83203125" style="72" customWidth="1"/>
    <col min="4123" max="4123" width="15.5" style="72" customWidth="1"/>
    <col min="4124" max="4124" width="16" style="72" customWidth="1"/>
    <col min="4125" max="4125" width="9.1640625" style="72" customWidth="1"/>
    <col min="4126" max="4126" width="17.33203125" style="72" customWidth="1"/>
    <col min="4127" max="4127" width="16.5" style="72" bestFit="1" customWidth="1"/>
    <col min="4128" max="4128" width="10.83203125" style="72" bestFit="1" customWidth="1"/>
    <col min="4129" max="4365" width="9.1640625" style="72"/>
    <col min="4366" max="4366" width="29.33203125" style="72" customWidth="1"/>
    <col min="4367" max="4368" width="20.1640625" style="72" customWidth="1"/>
    <col min="4369" max="4370" width="17.1640625" style="72" customWidth="1"/>
    <col min="4371" max="4371" width="21.5" style="72" customWidth="1"/>
    <col min="4372" max="4372" width="18.33203125" style="72" customWidth="1"/>
    <col min="4373" max="4373" width="28.5" style="72" customWidth="1"/>
    <col min="4374" max="4374" width="21" style="72" customWidth="1"/>
    <col min="4375" max="4375" width="17.5" style="72" customWidth="1"/>
    <col min="4376" max="4376" width="22.6640625" style="72" customWidth="1"/>
    <col min="4377" max="4377" width="17.1640625" style="72" customWidth="1"/>
    <col min="4378" max="4378" width="15.83203125" style="72" customWidth="1"/>
    <col min="4379" max="4379" width="15.5" style="72" customWidth="1"/>
    <col min="4380" max="4380" width="16" style="72" customWidth="1"/>
    <col min="4381" max="4381" width="9.1640625" style="72" customWidth="1"/>
    <col min="4382" max="4382" width="17.33203125" style="72" customWidth="1"/>
    <col min="4383" max="4383" width="16.5" style="72" bestFit="1" customWidth="1"/>
    <col min="4384" max="4384" width="10.83203125" style="72" bestFit="1" customWidth="1"/>
    <col min="4385" max="4621" width="9.1640625" style="72"/>
    <col min="4622" max="4622" width="29.33203125" style="72" customWidth="1"/>
    <col min="4623" max="4624" width="20.1640625" style="72" customWidth="1"/>
    <col min="4625" max="4626" width="17.1640625" style="72" customWidth="1"/>
    <col min="4627" max="4627" width="21.5" style="72" customWidth="1"/>
    <col min="4628" max="4628" width="18.33203125" style="72" customWidth="1"/>
    <col min="4629" max="4629" width="28.5" style="72" customWidth="1"/>
    <col min="4630" max="4630" width="21" style="72" customWidth="1"/>
    <col min="4631" max="4631" width="17.5" style="72" customWidth="1"/>
    <col min="4632" max="4632" width="22.6640625" style="72" customWidth="1"/>
    <col min="4633" max="4633" width="17.1640625" style="72" customWidth="1"/>
    <col min="4634" max="4634" width="15.83203125" style="72" customWidth="1"/>
    <col min="4635" max="4635" width="15.5" style="72" customWidth="1"/>
    <col min="4636" max="4636" width="16" style="72" customWidth="1"/>
    <col min="4637" max="4637" width="9.1640625" style="72" customWidth="1"/>
    <col min="4638" max="4638" width="17.33203125" style="72" customWidth="1"/>
    <col min="4639" max="4639" width="16.5" style="72" bestFit="1" customWidth="1"/>
    <col min="4640" max="4640" width="10.83203125" style="72" bestFit="1" customWidth="1"/>
    <col min="4641" max="4877" width="9.1640625" style="72"/>
    <col min="4878" max="4878" width="29.33203125" style="72" customWidth="1"/>
    <col min="4879" max="4880" width="20.1640625" style="72" customWidth="1"/>
    <col min="4881" max="4882" width="17.1640625" style="72" customWidth="1"/>
    <col min="4883" max="4883" width="21.5" style="72" customWidth="1"/>
    <col min="4884" max="4884" width="18.33203125" style="72" customWidth="1"/>
    <col min="4885" max="4885" width="28.5" style="72" customWidth="1"/>
    <col min="4886" max="4886" width="21" style="72" customWidth="1"/>
    <col min="4887" max="4887" width="17.5" style="72" customWidth="1"/>
    <col min="4888" max="4888" width="22.6640625" style="72" customWidth="1"/>
    <col min="4889" max="4889" width="17.1640625" style="72" customWidth="1"/>
    <col min="4890" max="4890" width="15.83203125" style="72" customWidth="1"/>
    <col min="4891" max="4891" width="15.5" style="72" customWidth="1"/>
    <col min="4892" max="4892" width="16" style="72" customWidth="1"/>
    <col min="4893" max="4893" width="9.1640625" style="72" customWidth="1"/>
    <col min="4894" max="4894" width="17.33203125" style="72" customWidth="1"/>
    <col min="4895" max="4895" width="16.5" style="72" bestFit="1" customWidth="1"/>
    <col min="4896" max="4896" width="10.83203125" style="72" bestFit="1" customWidth="1"/>
    <col min="4897" max="5133" width="9.1640625" style="72"/>
    <col min="5134" max="5134" width="29.33203125" style="72" customWidth="1"/>
    <col min="5135" max="5136" width="20.1640625" style="72" customWidth="1"/>
    <col min="5137" max="5138" width="17.1640625" style="72" customWidth="1"/>
    <col min="5139" max="5139" width="21.5" style="72" customWidth="1"/>
    <col min="5140" max="5140" width="18.33203125" style="72" customWidth="1"/>
    <col min="5141" max="5141" width="28.5" style="72" customWidth="1"/>
    <col min="5142" max="5142" width="21" style="72" customWidth="1"/>
    <col min="5143" max="5143" width="17.5" style="72" customWidth="1"/>
    <col min="5144" max="5144" width="22.6640625" style="72" customWidth="1"/>
    <col min="5145" max="5145" width="17.1640625" style="72" customWidth="1"/>
    <col min="5146" max="5146" width="15.83203125" style="72" customWidth="1"/>
    <col min="5147" max="5147" width="15.5" style="72" customWidth="1"/>
    <col min="5148" max="5148" width="16" style="72" customWidth="1"/>
    <col min="5149" max="5149" width="9.1640625" style="72" customWidth="1"/>
    <col min="5150" max="5150" width="17.33203125" style="72" customWidth="1"/>
    <col min="5151" max="5151" width="16.5" style="72" bestFit="1" customWidth="1"/>
    <col min="5152" max="5152" width="10.83203125" style="72" bestFit="1" customWidth="1"/>
    <col min="5153" max="5389" width="9.1640625" style="72"/>
    <col min="5390" max="5390" width="29.33203125" style="72" customWidth="1"/>
    <col min="5391" max="5392" width="20.1640625" style="72" customWidth="1"/>
    <col min="5393" max="5394" width="17.1640625" style="72" customWidth="1"/>
    <col min="5395" max="5395" width="21.5" style="72" customWidth="1"/>
    <col min="5396" max="5396" width="18.33203125" style="72" customWidth="1"/>
    <col min="5397" max="5397" width="28.5" style="72" customWidth="1"/>
    <col min="5398" max="5398" width="21" style="72" customWidth="1"/>
    <col min="5399" max="5399" width="17.5" style="72" customWidth="1"/>
    <col min="5400" max="5400" width="22.6640625" style="72" customWidth="1"/>
    <col min="5401" max="5401" width="17.1640625" style="72" customWidth="1"/>
    <col min="5402" max="5402" width="15.83203125" style="72" customWidth="1"/>
    <col min="5403" max="5403" width="15.5" style="72" customWidth="1"/>
    <col min="5404" max="5404" width="16" style="72" customWidth="1"/>
    <col min="5405" max="5405" width="9.1640625" style="72" customWidth="1"/>
    <col min="5406" max="5406" width="17.33203125" style="72" customWidth="1"/>
    <col min="5407" max="5407" width="16.5" style="72" bestFit="1" customWidth="1"/>
    <col min="5408" max="5408" width="10.83203125" style="72" bestFit="1" customWidth="1"/>
    <col min="5409" max="5645" width="9.1640625" style="72"/>
    <col min="5646" max="5646" width="29.33203125" style="72" customWidth="1"/>
    <col min="5647" max="5648" width="20.1640625" style="72" customWidth="1"/>
    <col min="5649" max="5650" width="17.1640625" style="72" customWidth="1"/>
    <col min="5651" max="5651" width="21.5" style="72" customWidth="1"/>
    <col min="5652" max="5652" width="18.33203125" style="72" customWidth="1"/>
    <col min="5653" max="5653" width="28.5" style="72" customWidth="1"/>
    <col min="5654" max="5654" width="21" style="72" customWidth="1"/>
    <col min="5655" max="5655" width="17.5" style="72" customWidth="1"/>
    <col min="5656" max="5656" width="22.6640625" style="72" customWidth="1"/>
    <col min="5657" max="5657" width="17.1640625" style="72" customWidth="1"/>
    <col min="5658" max="5658" width="15.83203125" style="72" customWidth="1"/>
    <col min="5659" max="5659" width="15.5" style="72" customWidth="1"/>
    <col min="5660" max="5660" width="16" style="72" customWidth="1"/>
    <col min="5661" max="5661" width="9.1640625" style="72" customWidth="1"/>
    <col min="5662" max="5662" width="17.33203125" style="72" customWidth="1"/>
    <col min="5663" max="5663" width="16.5" style="72" bestFit="1" customWidth="1"/>
    <col min="5664" max="5664" width="10.83203125" style="72" bestFit="1" customWidth="1"/>
    <col min="5665" max="5901" width="9.1640625" style="72"/>
    <col min="5902" max="5902" width="29.33203125" style="72" customWidth="1"/>
    <col min="5903" max="5904" width="20.1640625" style="72" customWidth="1"/>
    <col min="5905" max="5906" width="17.1640625" style="72" customWidth="1"/>
    <col min="5907" max="5907" width="21.5" style="72" customWidth="1"/>
    <col min="5908" max="5908" width="18.33203125" style="72" customWidth="1"/>
    <col min="5909" max="5909" width="28.5" style="72" customWidth="1"/>
    <col min="5910" max="5910" width="21" style="72" customWidth="1"/>
    <col min="5911" max="5911" width="17.5" style="72" customWidth="1"/>
    <col min="5912" max="5912" width="22.6640625" style="72" customWidth="1"/>
    <col min="5913" max="5913" width="17.1640625" style="72" customWidth="1"/>
    <col min="5914" max="5914" width="15.83203125" style="72" customWidth="1"/>
    <col min="5915" max="5915" width="15.5" style="72" customWidth="1"/>
    <col min="5916" max="5916" width="16" style="72" customWidth="1"/>
    <col min="5917" max="5917" width="9.1640625" style="72" customWidth="1"/>
    <col min="5918" max="5918" width="17.33203125" style="72" customWidth="1"/>
    <col min="5919" max="5919" width="16.5" style="72" bestFit="1" customWidth="1"/>
    <col min="5920" max="5920" width="10.83203125" style="72" bestFit="1" customWidth="1"/>
    <col min="5921" max="6157" width="9.1640625" style="72"/>
    <col min="6158" max="6158" width="29.33203125" style="72" customWidth="1"/>
    <col min="6159" max="6160" width="20.1640625" style="72" customWidth="1"/>
    <col min="6161" max="6162" width="17.1640625" style="72" customWidth="1"/>
    <col min="6163" max="6163" width="21.5" style="72" customWidth="1"/>
    <col min="6164" max="6164" width="18.33203125" style="72" customWidth="1"/>
    <col min="6165" max="6165" width="28.5" style="72" customWidth="1"/>
    <col min="6166" max="6166" width="21" style="72" customWidth="1"/>
    <col min="6167" max="6167" width="17.5" style="72" customWidth="1"/>
    <col min="6168" max="6168" width="22.6640625" style="72" customWidth="1"/>
    <col min="6169" max="6169" width="17.1640625" style="72" customWidth="1"/>
    <col min="6170" max="6170" width="15.83203125" style="72" customWidth="1"/>
    <col min="6171" max="6171" width="15.5" style="72" customWidth="1"/>
    <col min="6172" max="6172" width="16" style="72" customWidth="1"/>
    <col min="6173" max="6173" width="9.1640625" style="72" customWidth="1"/>
    <col min="6174" max="6174" width="17.33203125" style="72" customWidth="1"/>
    <col min="6175" max="6175" width="16.5" style="72" bestFit="1" customWidth="1"/>
    <col min="6176" max="6176" width="10.83203125" style="72" bestFit="1" customWidth="1"/>
    <col min="6177" max="6413" width="9.1640625" style="72"/>
    <col min="6414" max="6414" width="29.33203125" style="72" customWidth="1"/>
    <col min="6415" max="6416" width="20.1640625" style="72" customWidth="1"/>
    <col min="6417" max="6418" width="17.1640625" style="72" customWidth="1"/>
    <col min="6419" max="6419" width="21.5" style="72" customWidth="1"/>
    <col min="6420" max="6420" width="18.33203125" style="72" customWidth="1"/>
    <col min="6421" max="6421" width="28.5" style="72" customWidth="1"/>
    <col min="6422" max="6422" width="21" style="72" customWidth="1"/>
    <col min="6423" max="6423" width="17.5" style="72" customWidth="1"/>
    <col min="6424" max="6424" width="22.6640625" style="72" customWidth="1"/>
    <col min="6425" max="6425" width="17.1640625" style="72" customWidth="1"/>
    <col min="6426" max="6426" width="15.83203125" style="72" customWidth="1"/>
    <col min="6427" max="6427" width="15.5" style="72" customWidth="1"/>
    <col min="6428" max="6428" width="16" style="72" customWidth="1"/>
    <col min="6429" max="6429" width="9.1640625" style="72" customWidth="1"/>
    <col min="6430" max="6430" width="17.33203125" style="72" customWidth="1"/>
    <col min="6431" max="6431" width="16.5" style="72" bestFit="1" customWidth="1"/>
    <col min="6432" max="6432" width="10.83203125" style="72" bestFit="1" customWidth="1"/>
    <col min="6433" max="6669" width="9.1640625" style="72"/>
    <col min="6670" max="6670" width="29.33203125" style="72" customWidth="1"/>
    <col min="6671" max="6672" width="20.1640625" style="72" customWidth="1"/>
    <col min="6673" max="6674" width="17.1640625" style="72" customWidth="1"/>
    <col min="6675" max="6675" width="21.5" style="72" customWidth="1"/>
    <col min="6676" max="6676" width="18.33203125" style="72" customWidth="1"/>
    <col min="6677" max="6677" width="28.5" style="72" customWidth="1"/>
    <col min="6678" max="6678" width="21" style="72" customWidth="1"/>
    <col min="6679" max="6679" width="17.5" style="72" customWidth="1"/>
    <col min="6680" max="6680" width="22.6640625" style="72" customWidth="1"/>
    <col min="6681" max="6681" width="17.1640625" style="72" customWidth="1"/>
    <col min="6682" max="6682" width="15.83203125" style="72" customWidth="1"/>
    <col min="6683" max="6683" width="15.5" style="72" customWidth="1"/>
    <col min="6684" max="6684" width="16" style="72" customWidth="1"/>
    <col min="6685" max="6685" width="9.1640625" style="72" customWidth="1"/>
    <col min="6686" max="6686" width="17.33203125" style="72" customWidth="1"/>
    <col min="6687" max="6687" width="16.5" style="72" bestFit="1" customWidth="1"/>
    <col min="6688" max="6688" width="10.83203125" style="72" bestFit="1" customWidth="1"/>
    <col min="6689" max="6925" width="9.1640625" style="72"/>
    <col min="6926" max="6926" width="29.33203125" style="72" customWidth="1"/>
    <col min="6927" max="6928" width="20.1640625" style="72" customWidth="1"/>
    <col min="6929" max="6930" width="17.1640625" style="72" customWidth="1"/>
    <col min="6931" max="6931" width="21.5" style="72" customWidth="1"/>
    <col min="6932" max="6932" width="18.33203125" style="72" customWidth="1"/>
    <col min="6933" max="6933" width="28.5" style="72" customWidth="1"/>
    <col min="6934" max="6934" width="21" style="72" customWidth="1"/>
    <col min="6935" max="6935" width="17.5" style="72" customWidth="1"/>
    <col min="6936" max="6936" width="22.6640625" style="72" customWidth="1"/>
    <col min="6937" max="6937" width="17.1640625" style="72" customWidth="1"/>
    <col min="6938" max="6938" width="15.83203125" style="72" customWidth="1"/>
    <col min="6939" max="6939" width="15.5" style="72" customWidth="1"/>
    <col min="6940" max="6940" width="16" style="72" customWidth="1"/>
    <col min="6941" max="6941" width="9.1640625" style="72" customWidth="1"/>
    <col min="6942" max="6942" width="17.33203125" style="72" customWidth="1"/>
    <col min="6943" max="6943" width="16.5" style="72" bestFit="1" customWidth="1"/>
    <col min="6944" max="6944" width="10.83203125" style="72" bestFit="1" customWidth="1"/>
    <col min="6945" max="7181" width="9.1640625" style="72"/>
    <col min="7182" max="7182" width="29.33203125" style="72" customWidth="1"/>
    <col min="7183" max="7184" width="20.1640625" style="72" customWidth="1"/>
    <col min="7185" max="7186" width="17.1640625" style="72" customWidth="1"/>
    <col min="7187" max="7187" width="21.5" style="72" customWidth="1"/>
    <col min="7188" max="7188" width="18.33203125" style="72" customWidth="1"/>
    <col min="7189" max="7189" width="28.5" style="72" customWidth="1"/>
    <col min="7190" max="7190" width="21" style="72" customWidth="1"/>
    <col min="7191" max="7191" width="17.5" style="72" customWidth="1"/>
    <col min="7192" max="7192" width="22.6640625" style="72" customWidth="1"/>
    <col min="7193" max="7193" width="17.1640625" style="72" customWidth="1"/>
    <col min="7194" max="7194" width="15.83203125" style="72" customWidth="1"/>
    <col min="7195" max="7195" width="15.5" style="72" customWidth="1"/>
    <col min="7196" max="7196" width="16" style="72" customWidth="1"/>
    <col min="7197" max="7197" width="9.1640625" style="72" customWidth="1"/>
    <col min="7198" max="7198" width="17.33203125" style="72" customWidth="1"/>
    <col min="7199" max="7199" width="16.5" style="72" bestFit="1" customWidth="1"/>
    <col min="7200" max="7200" width="10.83203125" style="72" bestFit="1" customWidth="1"/>
    <col min="7201" max="7437" width="9.1640625" style="72"/>
    <col min="7438" max="7438" width="29.33203125" style="72" customWidth="1"/>
    <col min="7439" max="7440" width="20.1640625" style="72" customWidth="1"/>
    <col min="7441" max="7442" width="17.1640625" style="72" customWidth="1"/>
    <col min="7443" max="7443" width="21.5" style="72" customWidth="1"/>
    <col min="7444" max="7444" width="18.33203125" style="72" customWidth="1"/>
    <col min="7445" max="7445" width="28.5" style="72" customWidth="1"/>
    <col min="7446" max="7446" width="21" style="72" customWidth="1"/>
    <col min="7447" max="7447" width="17.5" style="72" customWidth="1"/>
    <col min="7448" max="7448" width="22.6640625" style="72" customWidth="1"/>
    <col min="7449" max="7449" width="17.1640625" style="72" customWidth="1"/>
    <col min="7450" max="7450" width="15.83203125" style="72" customWidth="1"/>
    <col min="7451" max="7451" width="15.5" style="72" customWidth="1"/>
    <col min="7452" max="7452" width="16" style="72" customWidth="1"/>
    <col min="7453" max="7453" width="9.1640625" style="72" customWidth="1"/>
    <col min="7454" max="7454" width="17.33203125" style="72" customWidth="1"/>
    <col min="7455" max="7455" width="16.5" style="72" bestFit="1" customWidth="1"/>
    <col min="7456" max="7456" width="10.83203125" style="72" bestFit="1" customWidth="1"/>
    <col min="7457" max="7693" width="9.1640625" style="72"/>
    <col min="7694" max="7694" width="29.33203125" style="72" customWidth="1"/>
    <col min="7695" max="7696" width="20.1640625" style="72" customWidth="1"/>
    <col min="7697" max="7698" width="17.1640625" style="72" customWidth="1"/>
    <col min="7699" max="7699" width="21.5" style="72" customWidth="1"/>
    <col min="7700" max="7700" width="18.33203125" style="72" customWidth="1"/>
    <col min="7701" max="7701" width="28.5" style="72" customWidth="1"/>
    <col min="7702" max="7702" width="21" style="72" customWidth="1"/>
    <col min="7703" max="7703" width="17.5" style="72" customWidth="1"/>
    <col min="7704" max="7704" width="22.6640625" style="72" customWidth="1"/>
    <col min="7705" max="7705" width="17.1640625" style="72" customWidth="1"/>
    <col min="7706" max="7706" width="15.83203125" style="72" customWidth="1"/>
    <col min="7707" max="7707" width="15.5" style="72" customWidth="1"/>
    <col min="7708" max="7708" width="16" style="72" customWidth="1"/>
    <col min="7709" max="7709" width="9.1640625" style="72" customWidth="1"/>
    <col min="7710" max="7710" width="17.33203125" style="72" customWidth="1"/>
    <col min="7711" max="7711" width="16.5" style="72" bestFit="1" customWidth="1"/>
    <col min="7712" max="7712" width="10.83203125" style="72" bestFit="1" customWidth="1"/>
    <col min="7713" max="7949" width="9.1640625" style="72"/>
    <col min="7950" max="7950" width="29.33203125" style="72" customWidth="1"/>
    <col min="7951" max="7952" width="20.1640625" style="72" customWidth="1"/>
    <col min="7953" max="7954" width="17.1640625" style="72" customWidth="1"/>
    <col min="7955" max="7955" width="21.5" style="72" customWidth="1"/>
    <col min="7956" max="7956" width="18.33203125" style="72" customWidth="1"/>
    <col min="7957" max="7957" width="28.5" style="72" customWidth="1"/>
    <col min="7958" max="7958" width="21" style="72" customWidth="1"/>
    <col min="7959" max="7959" width="17.5" style="72" customWidth="1"/>
    <col min="7960" max="7960" width="22.6640625" style="72" customWidth="1"/>
    <col min="7961" max="7961" width="17.1640625" style="72" customWidth="1"/>
    <col min="7962" max="7962" width="15.83203125" style="72" customWidth="1"/>
    <col min="7963" max="7963" width="15.5" style="72" customWidth="1"/>
    <col min="7964" max="7964" width="16" style="72" customWidth="1"/>
    <col min="7965" max="7965" width="9.1640625" style="72" customWidth="1"/>
    <col min="7966" max="7966" width="17.33203125" style="72" customWidth="1"/>
    <col min="7967" max="7967" width="16.5" style="72" bestFit="1" customWidth="1"/>
    <col min="7968" max="7968" width="10.83203125" style="72" bestFit="1" customWidth="1"/>
    <col min="7969" max="8205" width="9.1640625" style="72"/>
    <col min="8206" max="8206" width="29.33203125" style="72" customWidth="1"/>
    <col min="8207" max="8208" width="20.1640625" style="72" customWidth="1"/>
    <col min="8209" max="8210" width="17.1640625" style="72" customWidth="1"/>
    <col min="8211" max="8211" width="21.5" style="72" customWidth="1"/>
    <col min="8212" max="8212" width="18.33203125" style="72" customWidth="1"/>
    <col min="8213" max="8213" width="28.5" style="72" customWidth="1"/>
    <col min="8214" max="8214" width="21" style="72" customWidth="1"/>
    <col min="8215" max="8215" width="17.5" style="72" customWidth="1"/>
    <col min="8216" max="8216" width="22.6640625" style="72" customWidth="1"/>
    <col min="8217" max="8217" width="17.1640625" style="72" customWidth="1"/>
    <col min="8218" max="8218" width="15.83203125" style="72" customWidth="1"/>
    <col min="8219" max="8219" width="15.5" style="72" customWidth="1"/>
    <col min="8220" max="8220" width="16" style="72" customWidth="1"/>
    <col min="8221" max="8221" width="9.1640625" style="72" customWidth="1"/>
    <col min="8222" max="8222" width="17.33203125" style="72" customWidth="1"/>
    <col min="8223" max="8223" width="16.5" style="72" bestFit="1" customWidth="1"/>
    <col min="8224" max="8224" width="10.83203125" style="72" bestFit="1" customWidth="1"/>
    <col min="8225" max="8461" width="9.1640625" style="72"/>
    <col min="8462" max="8462" width="29.33203125" style="72" customWidth="1"/>
    <col min="8463" max="8464" width="20.1640625" style="72" customWidth="1"/>
    <col min="8465" max="8466" width="17.1640625" style="72" customWidth="1"/>
    <col min="8467" max="8467" width="21.5" style="72" customWidth="1"/>
    <col min="8468" max="8468" width="18.33203125" style="72" customWidth="1"/>
    <col min="8469" max="8469" width="28.5" style="72" customWidth="1"/>
    <col min="8470" max="8470" width="21" style="72" customWidth="1"/>
    <col min="8471" max="8471" width="17.5" style="72" customWidth="1"/>
    <col min="8472" max="8472" width="22.6640625" style="72" customWidth="1"/>
    <col min="8473" max="8473" width="17.1640625" style="72" customWidth="1"/>
    <col min="8474" max="8474" width="15.83203125" style="72" customWidth="1"/>
    <col min="8475" max="8475" width="15.5" style="72" customWidth="1"/>
    <col min="8476" max="8476" width="16" style="72" customWidth="1"/>
    <col min="8477" max="8477" width="9.1640625" style="72" customWidth="1"/>
    <col min="8478" max="8478" width="17.33203125" style="72" customWidth="1"/>
    <col min="8479" max="8479" width="16.5" style="72" bestFit="1" customWidth="1"/>
    <col min="8480" max="8480" width="10.83203125" style="72" bestFit="1" customWidth="1"/>
    <col min="8481" max="8717" width="9.1640625" style="72"/>
    <col min="8718" max="8718" width="29.33203125" style="72" customWidth="1"/>
    <col min="8719" max="8720" width="20.1640625" style="72" customWidth="1"/>
    <col min="8721" max="8722" width="17.1640625" style="72" customWidth="1"/>
    <col min="8723" max="8723" width="21.5" style="72" customWidth="1"/>
    <col min="8724" max="8724" width="18.33203125" style="72" customWidth="1"/>
    <col min="8725" max="8725" width="28.5" style="72" customWidth="1"/>
    <col min="8726" max="8726" width="21" style="72" customWidth="1"/>
    <col min="8727" max="8727" width="17.5" style="72" customWidth="1"/>
    <col min="8728" max="8728" width="22.6640625" style="72" customWidth="1"/>
    <col min="8729" max="8729" width="17.1640625" style="72" customWidth="1"/>
    <col min="8730" max="8730" width="15.83203125" style="72" customWidth="1"/>
    <col min="8731" max="8731" width="15.5" style="72" customWidth="1"/>
    <col min="8732" max="8732" width="16" style="72" customWidth="1"/>
    <col min="8733" max="8733" width="9.1640625" style="72" customWidth="1"/>
    <col min="8734" max="8734" width="17.33203125" style="72" customWidth="1"/>
    <col min="8735" max="8735" width="16.5" style="72" bestFit="1" customWidth="1"/>
    <col min="8736" max="8736" width="10.83203125" style="72" bestFit="1" customWidth="1"/>
    <col min="8737" max="8973" width="9.1640625" style="72"/>
    <col min="8974" max="8974" width="29.33203125" style="72" customWidth="1"/>
    <col min="8975" max="8976" width="20.1640625" style="72" customWidth="1"/>
    <col min="8977" max="8978" width="17.1640625" style="72" customWidth="1"/>
    <col min="8979" max="8979" width="21.5" style="72" customWidth="1"/>
    <col min="8980" max="8980" width="18.33203125" style="72" customWidth="1"/>
    <col min="8981" max="8981" width="28.5" style="72" customWidth="1"/>
    <col min="8982" max="8982" width="21" style="72" customWidth="1"/>
    <col min="8983" max="8983" width="17.5" style="72" customWidth="1"/>
    <col min="8984" max="8984" width="22.6640625" style="72" customWidth="1"/>
    <col min="8985" max="8985" width="17.1640625" style="72" customWidth="1"/>
    <col min="8986" max="8986" width="15.83203125" style="72" customWidth="1"/>
    <col min="8987" max="8987" width="15.5" style="72" customWidth="1"/>
    <col min="8988" max="8988" width="16" style="72" customWidth="1"/>
    <col min="8989" max="8989" width="9.1640625" style="72" customWidth="1"/>
    <col min="8990" max="8990" width="17.33203125" style="72" customWidth="1"/>
    <col min="8991" max="8991" width="16.5" style="72" bestFit="1" customWidth="1"/>
    <col min="8992" max="8992" width="10.83203125" style="72" bestFit="1" customWidth="1"/>
    <col min="8993" max="9229" width="9.1640625" style="72"/>
    <col min="9230" max="9230" width="29.33203125" style="72" customWidth="1"/>
    <col min="9231" max="9232" width="20.1640625" style="72" customWidth="1"/>
    <col min="9233" max="9234" width="17.1640625" style="72" customWidth="1"/>
    <col min="9235" max="9235" width="21.5" style="72" customWidth="1"/>
    <col min="9236" max="9236" width="18.33203125" style="72" customWidth="1"/>
    <col min="9237" max="9237" width="28.5" style="72" customWidth="1"/>
    <col min="9238" max="9238" width="21" style="72" customWidth="1"/>
    <col min="9239" max="9239" width="17.5" style="72" customWidth="1"/>
    <col min="9240" max="9240" width="22.6640625" style="72" customWidth="1"/>
    <col min="9241" max="9241" width="17.1640625" style="72" customWidth="1"/>
    <col min="9242" max="9242" width="15.83203125" style="72" customWidth="1"/>
    <col min="9243" max="9243" width="15.5" style="72" customWidth="1"/>
    <col min="9244" max="9244" width="16" style="72" customWidth="1"/>
    <col min="9245" max="9245" width="9.1640625" style="72" customWidth="1"/>
    <col min="9246" max="9246" width="17.33203125" style="72" customWidth="1"/>
    <col min="9247" max="9247" width="16.5" style="72" bestFit="1" customWidth="1"/>
    <col min="9248" max="9248" width="10.83203125" style="72" bestFit="1" customWidth="1"/>
    <col min="9249" max="9485" width="9.1640625" style="72"/>
    <col min="9486" max="9486" width="29.33203125" style="72" customWidth="1"/>
    <col min="9487" max="9488" width="20.1640625" style="72" customWidth="1"/>
    <col min="9489" max="9490" width="17.1640625" style="72" customWidth="1"/>
    <col min="9491" max="9491" width="21.5" style="72" customWidth="1"/>
    <col min="9492" max="9492" width="18.33203125" style="72" customWidth="1"/>
    <col min="9493" max="9493" width="28.5" style="72" customWidth="1"/>
    <col min="9494" max="9494" width="21" style="72" customWidth="1"/>
    <col min="9495" max="9495" width="17.5" style="72" customWidth="1"/>
    <col min="9496" max="9496" width="22.6640625" style="72" customWidth="1"/>
    <col min="9497" max="9497" width="17.1640625" style="72" customWidth="1"/>
    <col min="9498" max="9498" width="15.83203125" style="72" customWidth="1"/>
    <col min="9499" max="9499" width="15.5" style="72" customWidth="1"/>
    <col min="9500" max="9500" width="16" style="72" customWidth="1"/>
    <col min="9501" max="9501" width="9.1640625" style="72" customWidth="1"/>
    <col min="9502" max="9502" width="17.33203125" style="72" customWidth="1"/>
    <col min="9503" max="9503" width="16.5" style="72" bestFit="1" customWidth="1"/>
    <col min="9504" max="9504" width="10.83203125" style="72" bestFit="1" customWidth="1"/>
    <col min="9505" max="9741" width="9.1640625" style="72"/>
    <col min="9742" max="9742" width="29.33203125" style="72" customWidth="1"/>
    <col min="9743" max="9744" width="20.1640625" style="72" customWidth="1"/>
    <col min="9745" max="9746" width="17.1640625" style="72" customWidth="1"/>
    <col min="9747" max="9747" width="21.5" style="72" customWidth="1"/>
    <col min="9748" max="9748" width="18.33203125" style="72" customWidth="1"/>
    <col min="9749" max="9749" width="28.5" style="72" customWidth="1"/>
    <col min="9750" max="9750" width="21" style="72" customWidth="1"/>
    <col min="9751" max="9751" width="17.5" style="72" customWidth="1"/>
    <col min="9752" max="9752" width="22.6640625" style="72" customWidth="1"/>
    <col min="9753" max="9753" width="17.1640625" style="72" customWidth="1"/>
    <col min="9754" max="9754" width="15.83203125" style="72" customWidth="1"/>
    <col min="9755" max="9755" width="15.5" style="72" customWidth="1"/>
    <col min="9756" max="9756" width="16" style="72" customWidth="1"/>
    <col min="9757" max="9757" width="9.1640625" style="72" customWidth="1"/>
    <col min="9758" max="9758" width="17.33203125" style="72" customWidth="1"/>
    <col min="9759" max="9759" width="16.5" style="72" bestFit="1" customWidth="1"/>
    <col min="9760" max="9760" width="10.83203125" style="72" bestFit="1" customWidth="1"/>
    <col min="9761" max="9997" width="9.1640625" style="72"/>
    <col min="9998" max="9998" width="29.33203125" style="72" customWidth="1"/>
    <col min="9999" max="10000" width="20.1640625" style="72" customWidth="1"/>
    <col min="10001" max="10002" width="17.1640625" style="72" customWidth="1"/>
    <col min="10003" max="10003" width="21.5" style="72" customWidth="1"/>
    <col min="10004" max="10004" width="18.33203125" style="72" customWidth="1"/>
    <col min="10005" max="10005" width="28.5" style="72" customWidth="1"/>
    <col min="10006" max="10006" width="21" style="72" customWidth="1"/>
    <col min="10007" max="10007" width="17.5" style="72" customWidth="1"/>
    <col min="10008" max="10008" width="22.6640625" style="72" customWidth="1"/>
    <col min="10009" max="10009" width="17.1640625" style="72" customWidth="1"/>
    <col min="10010" max="10010" width="15.83203125" style="72" customWidth="1"/>
    <col min="10011" max="10011" width="15.5" style="72" customWidth="1"/>
    <col min="10012" max="10012" width="16" style="72" customWidth="1"/>
    <col min="10013" max="10013" width="9.1640625" style="72" customWidth="1"/>
    <col min="10014" max="10014" width="17.33203125" style="72" customWidth="1"/>
    <col min="10015" max="10015" width="16.5" style="72" bestFit="1" customWidth="1"/>
    <col min="10016" max="10016" width="10.83203125" style="72" bestFit="1" customWidth="1"/>
    <col min="10017" max="10253" width="9.1640625" style="72"/>
    <col min="10254" max="10254" width="29.33203125" style="72" customWidth="1"/>
    <col min="10255" max="10256" width="20.1640625" style="72" customWidth="1"/>
    <col min="10257" max="10258" width="17.1640625" style="72" customWidth="1"/>
    <col min="10259" max="10259" width="21.5" style="72" customWidth="1"/>
    <col min="10260" max="10260" width="18.33203125" style="72" customWidth="1"/>
    <col min="10261" max="10261" width="28.5" style="72" customWidth="1"/>
    <col min="10262" max="10262" width="21" style="72" customWidth="1"/>
    <col min="10263" max="10263" width="17.5" style="72" customWidth="1"/>
    <col min="10264" max="10264" width="22.6640625" style="72" customWidth="1"/>
    <col min="10265" max="10265" width="17.1640625" style="72" customWidth="1"/>
    <col min="10266" max="10266" width="15.83203125" style="72" customWidth="1"/>
    <col min="10267" max="10267" width="15.5" style="72" customWidth="1"/>
    <col min="10268" max="10268" width="16" style="72" customWidth="1"/>
    <col min="10269" max="10269" width="9.1640625" style="72" customWidth="1"/>
    <col min="10270" max="10270" width="17.33203125" style="72" customWidth="1"/>
    <col min="10271" max="10271" width="16.5" style="72" bestFit="1" customWidth="1"/>
    <col min="10272" max="10272" width="10.83203125" style="72" bestFit="1" customWidth="1"/>
    <col min="10273" max="10509" width="9.1640625" style="72"/>
    <col min="10510" max="10510" width="29.33203125" style="72" customWidth="1"/>
    <col min="10511" max="10512" width="20.1640625" style="72" customWidth="1"/>
    <col min="10513" max="10514" width="17.1640625" style="72" customWidth="1"/>
    <col min="10515" max="10515" width="21.5" style="72" customWidth="1"/>
    <col min="10516" max="10516" width="18.33203125" style="72" customWidth="1"/>
    <col min="10517" max="10517" width="28.5" style="72" customWidth="1"/>
    <col min="10518" max="10518" width="21" style="72" customWidth="1"/>
    <col min="10519" max="10519" width="17.5" style="72" customWidth="1"/>
    <col min="10520" max="10520" width="22.6640625" style="72" customWidth="1"/>
    <col min="10521" max="10521" width="17.1640625" style="72" customWidth="1"/>
    <col min="10522" max="10522" width="15.83203125" style="72" customWidth="1"/>
    <col min="10523" max="10523" width="15.5" style="72" customWidth="1"/>
    <col min="10524" max="10524" width="16" style="72" customWidth="1"/>
    <col min="10525" max="10525" width="9.1640625" style="72" customWidth="1"/>
    <col min="10526" max="10526" width="17.33203125" style="72" customWidth="1"/>
    <col min="10527" max="10527" width="16.5" style="72" bestFit="1" customWidth="1"/>
    <col min="10528" max="10528" width="10.83203125" style="72" bestFit="1" customWidth="1"/>
    <col min="10529" max="10765" width="9.1640625" style="72"/>
    <col min="10766" max="10766" width="29.33203125" style="72" customWidth="1"/>
    <col min="10767" max="10768" width="20.1640625" style="72" customWidth="1"/>
    <col min="10769" max="10770" width="17.1640625" style="72" customWidth="1"/>
    <col min="10771" max="10771" width="21.5" style="72" customWidth="1"/>
    <col min="10772" max="10772" width="18.33203125" style="72" customWidth="1"/>
    <col min="10773" max="10773" width="28.5" style="72" customWidth="1"/>
    <col min="10774" max="10774" width="21" style="72" customWidth="1"/>
    <col min="10775" max="10775" width="17.5" style="72" customWidth="1"/>
    <col min="10776" max="10776" width="22.6640625" style="72" customWidth="1"/>
    <col min="10777" max="10777" width="17.1640625" style="72" customWidth="1"/>
    <col min="10778" max="10778" width="15.83203125" style="72" customWidth="1"/>
    <col min="10779" max="10779" width="15.5" style="72" customWidth="1"/>
    <col min="10780" max="10780" width="16" style="72" customWidth="1"/>
    <col min="10781" max="10781" width="9.1640625" style="72" customWidth="1"/>
    <col min="10782" max="10782" width="17.33203125" style="72" customWidth="1"/>
    <col min="10783" max="10783" width="16.5" style="72" bestFit="1" customWidth="1"/>
    <col min="10784" max="10784" width="10.83203125" style="72" bestFit="1" customWidth="1"/>
    <col min="10785" max="11021" width="9.1640625" style="72"/>
    <col min="11022" max="11022" width="29.33203125" style="72" customWidth="1"/>
    <col min="11023" max="11024" width="20.1640625" style="72" customWidth="1"/>
    <col min="11025" max="11026" width="17.1640625" style="72" customWidth="1"/>
    <col min="11027" max="11027" width="21.5" style="72" customWidth="1"/>
    <col min="11028" max="11028" width="18.33203125" style="72" customWidth="1"/>
    <col min="11029" max="11029" width="28.5" style="72" customWidth="1"/>
    <col min="11030" max="11030" width="21" style="72" customWidth="1"/>
    <col min="11031" max="11031" width="17.5" style="72" customWidth="1"/>
    <col min="11032" max="11032" width="22.6640625" style="72" customWidth="1"/>
    <col min="11033" max="11033" width="17.1640625" style="72" customWidth="1"/>
    <col min="11034" max="11034" width="15.83203125" style="72" customWidth="1"/>
    <col min="11035" max="11035" width="15.5" style="72" customWidth="1"/>
    <col min="11036" max="11036" width="16" style="72" customWidth="1"/>
    <col min="11037" max="11037" width="9.1640625" style="72" customWidth="1"/>
    <col min="11038" max="11038" width="17.33203125" style="72" customWidth="1"/>
    <col min="11039" max="11039" width="16.5" style="72" bestFit="1" customWidth="1"/>
    <col min="11040" max="11040" width="10.83203125" style="72" bestFit="1" customWidth="1"/>
    <col min="11041" max="11277" width="9.1640625" style="72"/>
    <col min="11278" max="11278" width="29.33203125" style="72" customWidth="1"/>
    <col min="11279" max="11280" width="20.1640625" style="72" customWidth="1"/>
    <col min="11281" max="11282" width="17.1640625" style="72" customWidth="1"/>
    <col min="11283" max="11283" width="21.5" style="72" customWidth="1"/>
    <col min="11284" max="11284" width="18.33203125" style="72" customWidth="1"/>
    <col min="11285" max="11285" width="28.5" style="72" customWidth="1"/>
    <col min="11286" max="11286" width="21" style="72" customWidth="1"/>
    <col min="11287" max="11287" width="17.5" style="72" customWidth="1"/>
    <col min="11288" max="11288" width="22.6640625" style="72" customWidth="1"/>
    <col min="11289" max="11289" width="17.1640625" style="72" customWidth="1"/>
    <col min="11290" max="11290" width="15.83203125" style="72" customWidth="1"/>
    <col min="11291" max="11291" width="15.5" style="72" customWidth="1"/>
    <col min="11292" max="11292" width="16" style="72" customWidth="1"/>
    <col min="11293" max="11293" width="9.1640625" style="72" customWidth="1"/>
    <col min="11294" max="11294" width="17.33203125" style="72" customWidth="1"/>
    <col min="11295" max="11295" width="16.5" style="72" bestFit="1" customWidth="1"/>
    <col min="11296" max="11296" width="10.83203125" style="72" bestFit="1" customWidth="1"/>
    <col min="11297" max="11533" width="9.1640625" style="72"/>
    <col min="11534" max="11534" width="29.33203125" style="72" customWidth="1"/>
    <col min="11535" max="11536" width="20.1640625" style="72" customWidth="1"/>
    <col min="11537" max="11538" width="17.1640625" style="72" customWidth="1"/>
    <col min="11539" max="11539" width="21.5" style="72" customWidth="1"/>
    <col min="11540" max="11540" width="18.33203125" style="72" customWidth="1"/>
    <col min="11541" max="11541" width="28.5" style="72" customWidth="1"/>
    <col min="11542" max="11542" width="21" style="72" customWidth="1"/>
    <col min="11543" max="11543" width="17.5" style="72" customWidth="1"/>
    <col min="11544" max="11544" width="22.6640625" style="72" customWidth="1"/>
    <col min="11545" max="11545" width="17.1640625" style="72" customWidth="1"/>
    <col min="11546" max="11546" width="15.83203125" style="72" customWidth="1"/>
    <col min="11547" max="11547" width="15.5" style="72" customWidth="1"/>
    <col min="11548" max="11548" width="16" style="72" customWidth="1"/>
    <col min="11549" max="11549" width="9.1640625" style="72" customWidth="1"/>
    <col min="11550" max="11550" width="17.33203125" style="72" customWidth="1"/>
    <col min="11551" max="11551" width="16.5" style="72" bestFit="1" customWidth="1"/>
    <col min="11552" max="11552" width="10.83203125" style="72" bestFit="1" customWidth="1"/>
    <col min="11553" max="11789" width="9.1640625" style="72"/>
    <col min="11790" max="11790" width="29.33203125" style="72" customWidth="1"/>
    <col min="11791" max="11792" width="20.1640625" style="72" customWidth="1"/>
    <col min="11793" max="11794" width="17.1640625" style="72" customWidth="1"/>
    <col min="11795" max="11795" width="21.5" style="72" customWidth="1"/>
    <col min="11796" max="11796" width="18.33203125" style="72" customWidth="1"/>
    <col min="11797" max="11797" width="28.5" style="72" customWidth="1"/>
    <col min="11798" max="11798" width="21" style="72" customWidth="1"/>
    <col min="11799" max="11799" width="17.5" style="72" customWidth="1"/>
    <col min="11800" max="11800" width="22.6640625" style="72" customWidth="1"/>
    <col min="11801" max="11801" width="17.1640625" style="72" customWidth="1"/>
    <col min="11802" max="11802" width="15.83203125" style="72" customWidth="1"/>
    <col min="11803" max="11803" width="15.5" style="72" customWidth="1"/>
    <col min="11804" max="11804" width="16" style="72" customWidth="1"/>
    <col min="11805" max="11805" width="9.1640625" style="72" customWidth="1"/>
    <col min="11806" max="11806" width="17.33203125" style="72" customWidth="1"/>
    <col min="11807" max="11807" width="16.5" style="72" bestFit="1" customWidth="1"/>
    <col min="11808" max="11808" width="10.83203125" style="72" bestFit="1" customWidth="1"/>
    <col min="11809" max="12045" width="9.1640625" style="72"/>
    <col min="12046" max="12046" width="29.33203125" style="72" customWidth="1"/>
    <col min="12047" max="12048" width="20.1640625" style="72" customWidth="1"/>
    <col min="12049" max="12050" width="17.1640625" style="72" customWidth="1"/>
    <col min="12051" max="12051" width="21.5" style="72" customWidth="1"/>
    <col min="12052" max="12052" width="18.33203125" style="72" customWidth="1"/>
    <col min="12053" max="12053" width="28.5" style="72" customWidth="1"/>
    <col min="12054" max="12054" width="21" style="72" customWidth="1"/>
    <col min="12055" max="12055" width="17.5" style="72" customWidth="1"/>
    <col min="12056" max="12056" width="22.6640625" style="72" customWidth="1"/>
    <col min="12057" max="12057" width="17.1640625" style="72" customWidth="1"/>
    <col min="12058" max="12058" width="15.83203125" style="72" customWidth="1"/>
    <col min="12059" max="12059" width="15.5" style="72" customWidth="1"/>
    <col min="12060" max="12060" width="16" style="72" customWidth="1"/>
    <col min="12061" max="12061" width="9.1640625" style="72" customWidth="1"/>
    <col min="12062" max="12062" width="17.33203125" style="72" customWidth="1"/>
    <col min="12063" max="12063" width="16.5" style="72" bestFit="1" customWidth="1"/>
    <col min="12064" max="12064" width="10.83203125" style="72" bestFit="1" customWidth="1"/>
    <col min="12065" max="12301" width="9.1640625" style="72"/>
    <col min="12302" max="12302" width="29.33203125" style="72" customWidth="1"/>
    <col min="12303" max="12304" width="20.1640625" style="72" customWidth="1"/>
    <col min="12305" max="12306" width="17.1640625" style="72" customWidth="1"/>
    <col min="12307" max="12307" width="21.5" style="72" customWidth="1"/>
    <col min="12308" max="12308" width="18.33203125" style="72" customWidth="1"/>
    <col min="12309" max="12309" width="28.5" style="72" customWidth="1"/>
    <col min="12310" max="12310" width="21" style="72" customWidth="1"/>
    <col min="12311" max="12311" width="17.5" style="72" customWidth="1"/>
    <col min="12312" max="12312" width="22.6640625" style="72" customWidth="1"/>
    <col min="12313" max="12313" width="17.1640625" style="72" customWidth="1"/>
    <col min="12314" max="12314" width="15.83203125" style="72" customWidth="1"/>
    <col min="12315" max="12315" width="15.5" style="72" customWidth="1"/>
    <col min="12316" max="12316" width="16" style="72" customWidth="1"/>
    <col min="12317" max="12317" width="9.1640625" style="72" customWidth="1"/>
    <col min="12318" max="12318" width="17.33203125" style="72" customWidth="1"/>
    <col min="12319" max="12319" width="16.5" style="72" bestFit="1" customWidth="1"/>
    <col min="12320" max="12320" width="10.83203125" style="72" bestFit="1" customWidth="1"/>
    <col min="12321" max="12557" width="9.1640625" style="72"/>
    <col min="12558" max="12558" width="29.33203125" style="72" customWidth="1"/>
    <col min="12559" max="12560" width="20.1640625" style="72" customWidth="1"/>
    <col min="12561" max="12562" width="17.1640625" style="72" customWidth="1"/>
    <col min="12563" max="12563" width="21.5" style="72" customWidth="1"/>
    <col min="12564" max="12564" width="18.33203125" style="72" customWidth="1"/>
    <col min="12565" max="12565" width="28.5" style="72" customWidth="1"/>
    <col min="12566" max="12566" width="21" style="72" customWidth="1"/>
    <col min="12567" max="12567" width="17.5" style="72" customWidth="1"/>
    <col min="12568" max="12568" width="22.6640625" style="72" customWidth="1"/>
    <col min="12569" max="12569" width="17.1640625" style="72" customWidth="1"/>
    <col min="12570" max="12570" width="15.83203125" style="72" customWidth="1"/>
    <col min="12571" max="12571" width="15.5" style="72" customWidth="1"/>
    <col min="12572" max="12572" width="16" style="72" customWidth="1"/>
    <col min="12573" max="12573" width="9.1640625" style="72" customWidth="1"/>
    <col min="12574" max="12574" width="17.33203125" style="72" customWidth="1"/>
    <col min="12575" max="12575" width="16.5" style="72" bestFit="1" customWidth="1"/>
    <col min="12576" max="12576" width="10.83203125" style="72" bestFit="1" customWidth="1"/>
    <col min="12577" max="12813" width="9.1640625" style="72"/>
    <col min="12814" max="12814" width="29.33203125" style="72" customWidth="1"/>
    <col min="12815" max="12816" width="20.1640625" style="72" customWidth="1"/>
    <col min="12817" max="12818" width="17.1640625" style="72" customWidth="1"/>
    <col min="12819" max="12819" width="21.5" style="72" customWidth="1"/>
    <col min="12820" max="12820" width="18.33203125" style="72" customWidth="1"/>
    <col min="12821" max="12821" width="28.5" style="72" customWidth="1"/>
    <col min="12822" max="12822" width="21" style="72" customWidth="1"/>
    <col min="12823" max="12823" width="17.5" style="72" customWidth="1"/>
    <col min="12824" max="12824" width="22.6640625" style="72" customWidth="1"/>
    <col min="12825" max="12825" width="17.1640625" style="72" customWidth="1"/>
    <col min="12826" max="12826" width="15.83203125" style="72" customWidth="1"/>
    <col min="12827" max="12827" width="15.5" style="72" customWidth="1"/>
    <col min="12828" max="12828" width="16" style="72" customWidth="1"/>
    <col min="12829" max="12829" width="9.1640625" style="72" customWidth="1"/>
    <col min="12830" max="12830" width="17.33203125" style="72" customWidth="1"/>
    <col min="12831" max="12831" width="16.5" style="72" bestFit="1" customWidth="1"/>
    <col min="12832" max="12832" width="10.83203125" style="72" bestFit="1" customWidth="1"/>
    <col min="12833" max="13069" width="9.1640625" style="72"/>
    <col min="13070" max="13070" width="29.33203125" style="72" customWidth="1"/>
    <col min="13071" max="13072" width="20.1640625" style="72" customWidth="1"/>
    <col min="13073" max="13074" width="17.1640625" style="72" customWidth="1"/>
    <col min="13075" max="13075" width="21.5" style="72" customWidth="1"/>
    <col min="13076" max="13076" width="18.33203125" style="72" customWidth="1"/>
    <col min="13077" max="13077" width="28.5" style="72" customWidth="1"/>
    <col min="13078" max="13078" width="21" style="72" customWidth="1"/>
    <col min="13079" max="13079" width="17.5" style="72" customWidth="1"/>
    <col min="13080" max="13080" width="22.6640625" style="72" customWidth="1"/>
    <col min="13081" max="13081" width="17.1640625" style="72" customWidth="1"/>
    <col min="13082" max="13082" width="15.83203125" style="72" customWidth="1"/>
    <col min="13083" max="13083" width="15.5" style="72" customWidth="1"/>
    <col min="13084" max="13084" width="16" style="72" customWidth="1"/>
    <col min="13085" max="13085" width="9.1640625" style="72" customWidth="1"/>
    <col min="13086" max="13086" width="17.33203125" style="72" customWidth="1"/>
    <col min="13087" max="13087" width="16.5" style="72" bestFit="1" customWidth="1"/>
    <col min="13088" max="13088" width="10.83203125" style="72" bestFit="1" customWidth="1"/>
    <col min="13089" max="13325" width="9.1640625" style="72"/>
    <col min="13326" max="13326" width="29.33203125" style="72" customWidth="1"/>
    <col min="13327" max="13328" width="20.1640625" style="72" customWidth="1"/>
    <col min="13329" max="13330" width="17.1640625" style="72" customWidth="1"/>
    <col min="13331" max="13331" width="21.5" style="72" customWidth="1"/>
    <col min="13332" max="13332" width="18.33203125" style="72" customWidth="1"/>
    <col min="13333" max="13333" width="28.5" style="72" customWidth="1"/>
    <col min="13334" max="13334" width="21" style="72" customWidth="1"/>
    <col min="13335" max="13335" width="17.5" style="72" customWidth="1"/>
    <col min="13336" max="13336" width="22.6640625" style="72" customWidth="1"/>
    <col min="13337" max="13337" width="17.1640625" style="72" customWidth="1"/>
    <col min="13338" max="13338" width="15.83203125" style="72" customWidth="1"/>
    <col min="13339" max="13339" width="15.5" style="72" customWidth="1"/>
    <col min="13340" max="13340" width="16" style="72" customWidth="1"/>
    <col min="13341" max="13341" width="9.1640625" style="72" customWidth="1"/>
    <col min="13342" max="13342" width="17.33203125" style="72" customWidth="1"/>
    <col min="13343" max="13343" width="16.5" style="72" bestFit="1" customWidth="1"/>
    <col min="13344" max="13344" width="10.83203125" style="72" bestFit="1" customWidth="1"/>
    <col min="13345" max="13581" width="9.1640625" style="72"/>
    <col min="13582" max="13582" width="29.33203125" style="72" customWidth="1"/>
    <col min="13583" max="13584" width="20.1640625" style="72" customWidth="1"/>
    <col min="13585" max="13586" width="17.1640625" style="72" customWidth="1"/>
    <col min="13587" max="13587" width="21.5" style="72" customWidth="1"/>
    <col min="13588" max="13588" width="18.33203125" style="72" customWidth="1"/>
    <col min="13589" max="13589" width="28.5" style="72" customWidth="1"/>
    <col min="13590" max="13590" width="21" style="72" customWidth="1"/>
    <col min="13591" max="13591" width="17.5" style="72" customWidth="1"/>
    <col min="13592" max="13592" width="22.6640625" style="72" customWidth="1"/>
    <col min="13593" max="13593" width="17.1640625" style="72" customWidth="1"/>
    <col min="13594" max="13594" width="15.83203125" style="72" customWidth="1"/>
    <col min="13595" max="13595" width="15.5" style="72" customWidth="1"/>
    <col min="13596" max="13596" width="16" style="72" customWidth="1"/>
    <col min="13597" max="13597" width="9.1640625" style="72" customWidth="1"/>
    <col min="13598" max="13598" width="17.33203125" style="72" customWidth="1"/>
    <col min="13599" max="13599" width="16.5" style="72" bestFit="1" customWidth="1"/>
    <col min="13600" max="13600" width="10.83203125" style="72" bestFit="1" customWidth="1"/>
    <col min="13601" max="13837" width="9.1640625" style="72"/>
    <col min="13838" max="13838" width="29.33203125" style="72" customWidth="1"/>
    <col min="13839" max="13840" width="20.1640625" style="72" customWidth="1"/>
    <col min="13841" max="13842" width="17.1640625" style="72" customWidth="1"/>
    <col min="13843" max="13843" width="21.5" style="72" customWidth="1"/>
    <col min="13844" max="13844" width="18.33203125" style="72" customWidth="1"/>
    <col min="13845" max="13845" width="28.5" style="72" customWidth="1"/>
    <col min="13846" max="13846" width="21" style="72" customWidth="1"/>
    <col min="13847" max="13847" width="17.5" style="72" customWidth="1"/>
    <col min="13848" max="13848" width="22.6640625" style="72" customWidth="1"/>
    <col min="13849" max="13849" width="17.1640625" style="72" customWidth="1"/>
    <col min="13850" max="13850" width="15.83203125" style="72" customWidth="1"/>
    <col min="13851" max="13851" width="15.5" style="72" customWidth="1"/>
    <col min="13852" max="13852" width="16" style="72" customWidth="1"/>
    <col min="13853" max="13853" width="9.1640625" style="72" customWidth="1"/>
    <col min="13854" max="13854" width="17.33203125" style="72" customWidth="1"/>
    <col min="13855" max="13855" width="16.5" style="72" bestFit="1" customWidth="1"/>
    <col min="13856" max="13856" width="10.83203125" style="72" bestFit="1" customWidth="1"/>
    <col min="13857" max="14093" width="9.1640625" style="72"/>
    <col min="14094" max="14094" width="29.33203125" style="72" customWidth="1"/>
    <col min="14095" max="14096" width="20.1640625" style="72" customWidth="1"/>
    <col min="14097" max="14098" width="17.1640625" style="72" customWidth="1"/>
    <col min="14099" max="14099" width="21.5" style="72" customWidth="1"/>
    <col min="14100" max="14100" width="18.33203125" style="72" customWidth="1"/>
    <col min="14101" max="14101" width="28.5" style="72" customWidth="1"/>
    <col min="14102" max="14102" width="21" style="72" customWidth="1"/>
    <col min="14103" max="14103" width="17.5" style="72" customWidth="1"/>
    <col min="14104" max="14104" width="22.6640625" style="72" customWidth="1"/>
    <col min="14105" max="14105" width="17.1640625" style="72" customWidth="1"/>
    <col min="14106" max="14106" width="15.83203125" style="72" customWidth="1"/>
    <col min="14107" max="14107" width="15.5" style="72" customWidth="1"/>
    <col min="14108" max="14108" width="16" style="72" customWidth="1"/>
    <col min="14109" max="14109" width="9.1640625" style="72" customWidth="1"/>
    <col min="14110" max="14110" width="17.33203125" style="72" customWidth="1"/>
    <col min="14111" max="14111" width="16.5" style="72" bestFit="1" customWidth="1"/>
    <col min="14112" max="14112" width="10.83203125" style="72" bestFit="1" customWidth="1"/>
    <col min="14113" max="14349" width="9.1640625" style="72"/>
    <col min="14350" max="14350" width="29.33203125" style="72" customWidth="1"/>
    <col min="14351" max="14352" width="20.1640625" style="72" customWidth="1"/>
    <col min="14353" max="14354" width="17.1640625" style="72" customWidth="1"/>
    <col min="14355" max="14355" width="21.5" style="72" customWidth="1"/>
    <col min="14356" max="14356" width="18.33203125" style="72" customWidth="1"/>
    <col min="14357" max="14357" width="28.5" style="72" customWidth="1"/>
    <col min="14358" max="14358" width="21" style="72" customWidth="1"/>
    <col min="14359" max="14359" width="17.5" style="72" customWidth="1"/>
    <col min="14360" max="14360" width="22.6640625" style="72" customWidth="1"/>
    <col min="14361" max="14361" width="17.1640625" style="72" customWidth="1"/>
    <col min="14362" max="14362" width="15.83203125" style="72" customWidth="1"/>
    <col min="14363" max="14363" width="15.5" style="72" customWidth="1"/>
    <col min="14364" max="14364" width="16" style="72" customWidth="1"/>
    <col min="14365" max="14365" width="9.1640625" style="72" customWidth="1"/>
    <col min="14366" max="14366" width="17.33203125" style="72" customWidth="1"/>
    <col min="14367" max="14367" width="16.5" style="72" bestFit="1" customWidth="1"/>
    <col min="14368" max="14368" width="10.83203125" style="72" bestFit="1" customWidth="1"/>
    <col min="14369" max="14605" width="9.1640625" style="72"/>
    <col min="14606" max="14606" width="29.33203125" style="72" customWidth="1"/>
    <col min="14607" max="14608" width="20.1640625" style="72" customWidth="1"/>
    <col min="14609" max="14610" width="17.1640625" style="72" customWidth="1"/>
    <col min="14611" max="14611" width="21.5" style="72" customWidth="1"/>
    <col min="14612" max="14612" width="18.33203125" style="72" customWidth="1"/>
    <col min="14613" max="14613" width="28.5" style="72" customWidth="1"/>
    <col min="14614" max="14614" width="21" style="72" customWidth="1"/>
    <col min="14615" max="14615" width="17.5" style="72" customWidth="1"/>
    <col min="14616" max="14616" width="22.6640625" style="72" customWidth="1"/>
    <col min="14617" max="14617" width="17.1640625" style="72" customWidth="1"/>
    <col min="14618" max="14618" width="15.83203125" style="72" customWidth="1"/>
    <col min="14619" max="14619" width="15.5" style="72" customWidth="1"/>
    <col min="14620" max="14620" width="16" style="72" customWidth="1"/>
    <col min="14621" max="14621" width="9.1640625" style="72" customWidth="1"/>
    <col min="14622" max="14622" width="17.33203125" style="72" customWidth="1"/>
    <col min="14623" max="14623" width="16.5" style="72" bestFit="1" customWidth="1"/>
    <col min="14624" max="14624" width="10.83203125" style="72" bestFit="1" customWidth="1"/>
    <col min="14625" max="14861" width="9.1640625" style="72"/>
    <col min="14862" max="14862" width="29.33203125" style="72" customWidth="1"/>
    <col min="14863" max="14864" width="20.1640625" style="72" customWidth="1"/>
    <col min="14865" max="14866" width="17.1640625" style="72" customWidth="1"/>
    <col min="14867" max="14867" width="21.5" style="72" customWidth="1"/>
    <col min="14868" max="14868" width="18.33203125" style="72" customWidth="1"/>
    <col min="14869" max="14869" width="28.5" style="72" customWidth="1"/>
    <col min="14870" max="14870" width="21" style="72" customWidth="1"/>
    <col min="14871" max="14871" width="17.5" style="72" customWidth="1"/>
    <col min="14872" max="14872" width="22.6640625" style="72" customWidth="1"/>
    <col min="14873" max="14873" width="17.1640625" style="72" customWidth="1"/>
    <col min="14874" max="14874" width="15.83203125" style="72" customWidth="1"/>
    <col min="14875" max="14875" width="15.5" style="72" customWidth="1"/>
    <col min="14876" max="14876" width="16" style="72" customWidth="1"/>
    <col min="14877" max="14877" width="9.1640625" style="72" customWidth="1"/>
    <col min="14878" max="14878" width="17.33203125" style="72" customWidth="1"/>
    <col min="14879" max="14879" width="16.5" style="72" bestFit="1" customWidth="1"/>
    <col min="14880" max="14880" width="10.83203125" style="72" bestFit="1" customWidth="1"/>
    <col min="14881" max="15117" width="9.1640625" style="72"/>
    <col min="15118" max="15118" width="29.33203125" style="72" customWidth="1"/>
    <col min="15119" max="15120" width="20.1640625" style="72" customWidth="1"/>
    <col min="15121" max="15122" width="17.1640625" style="72" customWidth="1"/>
    <col min="15123" max="15123" width="21.5" style="72" customWidth="1"/>
    <col min="15124" max="15124" width="18.33203125" style="72" customWidth="1"/>
    <col min="15125" max="15125" width="28.5" style="72" customWidth="1"/>
    <col min="15126" max="15126" width="21" style="72" customWidth="1"/>
    <col min="15127" max="15127" width="17.5" style="72" customWidth="1"/>
    <col min="15128" max="15128" width="22.6640625" style="72" customWidth="1"/>
    <col min="15129" max="15129" width="17.1640625" style="72" customWidth="1"/>
    <col min="15130" max="15130" width="15.83203125" style="72" customWidth="1"/>
    <col min="15131" max="15131" width="15.5" style="72" customWidth="1"/>
    <col min="15132" max="15132" width="16" style="72" customWidth="1"/>
    <col min="15133" max="15133" width="9.1640625" style="72" customWidth="1"/>
    <col min="15134" max="15134" width="17.33203125" style="72" customWidth="1"/>
    <col min="15135" max="15135" width="16.5" style="72" bestFit="1" customWidth="1"/>
    <col min="15136" max="15136" width="10.83203125" style="72" bestFit="1" customWidth="1"/>
    <col min="15137" max="15373" width="9.1640625" style="72"/>
    <col min="15374" max="15374" width="29.33203125" style="72" customWidth="1"/>
    <col min="15375" max="15376" width="20.1640625" style="72" customWidth="1"/>
    <col min="15377" max="15378" width="17.1640625" style="72" customWidth="1"/>
    <col min="15379" max="15379" width="21.5" style="72" customWidth="1"/>
    <col min="15380" max="15380" width="18.33203125" style="72" customWidth="1"/>
    <col min="15381" max="15381" width="28.5" style="72" customWidth="1"/>
    <col min="15382" max="15382" width="21" style="72" customWidth="1"/>
    <col min="15383" max="15383" width="17.5" style="72" customWidth="1"/>
    <col min="15384" max="15384" width="22.6640625" style="72" customWidth="1"/>
    <col min="15385" max="15385" width="17.1640625" style="72" customWidth="1"/>
    <col min="15386" max="15386" width="15.83203125" style="72" customWidth="1"/>
    <col min="15387" max="15387" width="15.5" style="72" customWidth="1"/>
    <col min="15388" max="15388" width="16" style="72" customWidth="1"/>
    <col min="15389" max="15389" width="9.1640625" style="72" customWidth="1"/>
    <col min="15390" max="15390" width="17.33203125" style="72" customWidth="1"/>
    <col min="15391" max="15391" width="16.5" style="72" bestFit="1" customWidth="1"/>
    <col min="15392" max="15392" width="10.83203125" style="72" bestFit="1" customWidth="1"/>
    <col min="15393" max="15629" width="9.1640625" style="72"/>
    <col min="15630" max="15630" width="29.33203125" style="72" customWidth="1"/>
    <col min="15631" max="15632" width="20.1640625" style="72" customWidth="1"/>
    <col min="15633" max="15634" width="17.1640625" style="72" customWidth="1"/>
    <col min="15635" max="15635" width="21.5" style="72" customWidth="1"/>
    <col min="15636" max="15636" width="18.33203125" style="72" customWidth="1"/>
    <col min="15637" max="15637" width="28.5" style="72" customWidth="1"/>
    <col min="15638" max="15638" width="21" style="72" customWidth="1"/>
    <col min="15639" max="15639" width="17.5" style="72" customWidth="1"/>
    <col min="15640" max="15640" width="22.6640625" style="72" customWidth="1"/>
    <col min="15641" max="15641" width="17.1640625" style="72" customWidth="1"/>
    <col min="15642" max="15642" width="15.83203125" style="72" customWidth="1"/>
    <col min="15643" max="15643" width="15.5" style="72" customWidth="1"/>
    <col min="15644" max="15644" width="16" style="72" customWidth="1"/>
    <col min="15645" max="15645" width="9.1640625" style="72" customWidth="1"/>
    <col min="15646" max="15646" width="17.33203125" style="72" customWidth="1"/>
    <col min="15647" max="15647" width="16.5" style="72" bestFit="1" customWidth="1"/>
    <col min="15648" max="15648" width="10.83203125" style="72" bestFit="1" customWidth="1"/>
    <col min="15649" max="15885" width="9.1640625" style="72"/>
    <col min="15886" max="15886" width="29.33203125" style="72" customWidth="1"/>
    <col min="15887" max="15888" width="20.1640625" style="72" customWidth="1"/>
    <col min="15889" max="15890" width="17.1640625" style="72" customWidth="1"/>
    <col min="15891" max="15891" width="21.5" style="72" customWidth="1"/>
    <col min="15892" max="15892" width="18.33203125" style="72" customWidth="1"/>
    <col min="15893" max="15893" width="28.5" style="72" customWidth="1"/>
    <col min="15894" max="15894" width="21" style="72" customWidth="1"/>
    <col min="15895" max="15895" width="17.5" style="72" customWidth="1"/>
    <col min="15896" max="15896" width="22.6640625" style="72" customWidth="1"/>
    <col min="15897" max="15897" width="17.1640625" style="72" customWidth="1"/>
    <col min="15898" max="15898" width="15.83203125" style="72" customWidth="1"/>
    <col min="15899" max="15899" width="15.5" style="72" customWidth="1"/>
    <col min="15900" max="15900" width="16" style="72" customWidth="1"/>
    <col min="15901" max="15901" width="9.1640625" style="72" customWidth="1"/>
    <col min="15902" max="15902" width="17.33203125" style="72" customWidth="1"/>
    <col min="15903" max="15903" width="16.5" style="72" bestFit="1" customWidth="1"/>
    <col min="15904" max="15904" width="10.83203125" style="72" bestFit="1" customWidth="1"/>
    <col min="15905" max="16141" width="9.1640625" style="72"/>
    <col min="16142" max="16142" width="29.33203125" style="72" customWidth="1"/>
    <col min="16143" max="16144" width="20.1640625" style="72" customWidth="1"/>
    <col min="16145" max="16146" width="17.1640625" style="72" customWidth="1"/>
    <col min="16147" max="16147" width="21.5" style="72" customWidth="1"/>
    <col min="16148" max="16148" width="18.33203125" style="72" customWidth="1"/>
    <col min="16149" max="16149" width="28.5" style="72" customWidth="1"/>
    <col min="16150" max="16150" width="21" style="72" customWidth="1"/>
    <col min="16151" max="16151" width="17.5" style="72" customWidth="1"/>
    <col min="16152" max="16152" width="22.6640625" style="72" customWidth="1"/>
    <col min="16153" max="16153" width="17.1640625" style="72" customWidth="1"/>
    <col min="16154" max="16154" width="15.83203125" style="72" customWidth="1"/>
    <col min="16155" max="16155" width="15.5" style="72" customWidth="1"/>
    <col min="16156" max="16156" width="16" style="72" customWidth="1"/>
    <col min="16157" max="16157" width="9.1640625" style="72" customWidth="1"/>
    <col min="16158" max="16158" width="17.33203125" style="72" customWidth="1"/>
    <col min="16159" max="16159" width="16.5" style="72" bestFit="1" customWidth="1"/>
    <col min="16160" max="16160" width="10.83203125" style="72" bestFit="1" customWidth="1"/>
    <col min="16161" max="16384" width="9.1640625" style="72"/>
  </cols>
  <sheetData>
    <row r="1" spans="1:269" ht="17">
      <c r="A1" s="294" t="s">
        <v>81</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c r="IW1" s="25"/>
      <c r="IX1" s="25"/>
      <c r="IY1" s="25"/>
      <c r="IZ1" s="25"/>
      <c r="JA1" s="25"/>
      <c r="JB1" s="25"/>
      <c r="JC1" s="25"/>
      <c r="JD1" s="25"/>
      <c r="JE1" s="25"/>
      <c r="JF1" s="25"/>
      <c r="JG1" s="25"/>
      <c r="JH1" s="25"/>
      <c r="JI1" s="25"/>
    </row>
    <row r="2" spans="1:269" ht="17">
      <c r="A2" s="295" t="s">
        <v>151</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c r="JA2" s="25"/>
      <c r="JB2" s="25"/>
      <c r="JC2" s="25"/>
      <c r="JD2" s="25"/>
      <c r="JE2" s="25"/>
      <c r="JF2" s="25"/>
      <c r="JG2" s="25"/>
      <c r="JH2" s="25"/>
      <c r="JI2" s="25"/>
    </row>
    <row r="3" spans="1:269" ht="15">
      <c r="A3" s="296" t="s">
        <v>182</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c r="IW3" s="26"/>
      <c r="IX3" s="26"/>
      <c r="IY3" s="26"/>
      <c r="IZ3" s="26"/>
      <c r="JA3" s="26"/>
      <c r="JB3" s="26"/>
      <c r="JC3" s="26"/>
      <c r="JD3" s="26"/>
      <c r="JE3" s="26"/>
      <c r="JF3" s="26"/>
      <c r="JG3" s="26"/>
      <c r="JH3" s="26"/>
      <c r="JI3" s="26"/>
    </row>
    <row r="4" spans="1:269">
      <c r="A4" s="29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c r="JA4" s="26"/>
      <c r="JB4" s="26"/>
      <c r="JC4" s="26"/>
      <c r="JD4" s="26"/>
      <c r="JE4" s="26"/>
      <c r="JF4" s="26"/>
      <c r="JG4" s="26"/>
      <c r="JH4" s="26"/>
      <c r="JI4" s="26"/>
    </row>
    <row r="5" spans="1:269">
      <c r="A5" s="27"/>
      <c r="B5" s="27"/>
      <c r="C5" s="298" t="s">
        <v>82</v>
      </c>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row>
    <row r="6" spans="1:269" ht="14">
      <c r="A6" s="27"/>
      <c r="B6" s="27"/>
      <c r="C6" s="28" t="s">
        <v>83</v>
      </c>
      <c r="D6" s="55"/>
      <c r="E6" s="28" t="s">
        <v>84</v>
      </c>
      <c r="F6" s="55"/>
      <c r="G6" s="28" t="s">
        <v>85</v>
      </c>
      <c r="H6" s="55"/>
      <c r="I6" s="28" t="s">
        <v>118</v>
      </c>
      <c r="J6" s="55"/>
      <c r="K6" s="28" t="s">
        <v>86</v>
      </c>
      <c r="L6" s="55"/>
      <c r="M6" s="28" t="s">
        <v>87</v>
      </c>
      <c r="N6" s="55"/>
      <c r="O6" s="28" t="s">
        <v>88</v>
      </c>
      <c r="P6" s="55"/>
      <c r="Q6" s="28" t="s">
        <v>89</v>
      </c>
      <c r="R6" s="55"/>
      <c r="S6" s="28" t="s">
        <v>90</v>
      </c>
      <c r="T6" s="55"/>
      <c r="U6" s="299"/>
      <c r="V6" s="299"/>
      <c r="W6" s="299"/>
      <c r="X6" s="179"/>
      <c r="Y6" s="299"/>
      <c r="Z6" s="299"/>
      <c r="AA6" s="179"/>
      <c r="AB6" s="29"/>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row>
    <row r="7" spans="1:269" ht="14">
      <c r="A7" s="27"/>
      <c r="B7" s="27"/>
      <c r="C7" s="30"/>
      <c r="D7" s="30"/>
      <c r="E7" s="30"/>
      <c r="F7" s="30"/>
      <c r="G7" s="30"/>
      <c r="H7" s="30"/>
      <c r="I7" s="30"/>
      <c r="J7" s="30"/>
      <c r="K7" s="30"/>
      <c r="L7" s="30"/>
      <c r="M7" s="30"/>
      <c r="N7" s="30"/>
      <c r="O7" s="30"/>
      <c r="P7" s="30"/>
      <c r="Q7" s="30"/>
      <c r="R7" s="30"/>
      <c r="S7" s="30"/>
      <c r="T7" s="30"/>
      <c r="U7" s="292"/>
      <c r="V7" s="292"/>
      <c r="W7" s="293"/>
      <c r="X7" s="178"/>
      <c r="Y7" s="57"/>
      <c r="Z7" s="57"/>
      <c r="AA7" s="58"/>
      <c r="AB7" s="31"/>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row>
    <row r="8" spans="1:269">
      <c r="A8" s="32"/>
      <c r="B8" s="32" t="s">
        <v>202</v>
      </c>
      <c r="C8" s="33" t="s">
        <v>91</v>
      </c>
      <c r="D8" s="33" t="s">
        <v>203</v>
      </c>
      <c r="E8" s="33" t="s">
        <v>92</v>
      </c>
      <c r="F8" s="33" t="s">
        <v>204</v>
      </c>
      <c r="G8" s="33" t="s">
        <v>93</v>
      </c>
      <c r="H8" s="33" t="s">
        <v>205</v>
      </c>
      <c r="I8" s="33" t="s">
        <v>116</v>
      </c>
      <c r="J8" s="33">
        <v>5310</v>
      </c>
      <c r="K8" s="33" t="s">
        <v>94</v>
      </c>
      <c r="L8" s="33">
        <v>5311</v>
      </c>
      <c r="M8" s="33" t="s">
        <v>95</v>
      </c>
      <c r="N8" s="33" t="s">
        <v>207</v>
      </c>
      <c r="O8" s="33"/>
      <c r="P8" s="33" t="s">
        <v>208</v>
      </c>
      <c r="Q8" s="33" t="s">
        <v>96</v>
      </c>
      <c r="R8" s="33" t="s">
        <v>209</v>
      </c>
      <c r="S8" s="33" t="s">
        <v>97</v>
      </c>
      <c r="T8" s="33" t="s">
        <v>210</v>
      </c>
      <c r="U8" s="33" t="s">
        <v>131</v>
      </c>
      <c r="V8" s="33" t="s">
        <v>211</v>
      </c>
      <c r="W8" s="47" t="s">
        <v>129</v>
      </c>
      <c r="X8" s="33">
        <v>5339</v>
      </c>
      <c r="Y8" s="33" t="s">
        <v>98</v>
      </c>
      <c r="Z8" s="33" t="s">
        <v>135</v>
      </c>
      <c r="AA8" s="47"/>
      <c r="AB8" s="33"/>
    </row>
    <row r="9" spans="1:269" ht="12" thickBot="1">
      <c r="A9" s="35" t="s">
        <v>35</v>
      </c>
      <c r="B9" s="35" t="s">
        <v>170</v>
      </c>
      <c r="C9" s="35" t="s">
        <v>99</v>
      </c>
      <c r="D9" s="35" t="s">
        <v>170</v>
      </c>
      <c r="E9" s="35" t="s">
        <v>99</v>
      </c>
      <c r="F9" s="35" t="s">
        <v>170</v>
      </c>
      <c r="G9" s="35" t="s">
        <v>100</v>
      </c>
      <c r="H9" s="35" t="s">
        <v>206</v>
      </c>
      <c r="I9" s="35" t="s">
        <v>117</v>
      </c>
      <c r="J9" s="35" t="s">
        <v>170</v>
      </c>
      <c r="K9" s="35" t="s">
        <v>101</v>
      </c>
      <c r="L9" s="35" t="s">
        <v>170</v>
      </c>
      <c r="M9" s="35" t="s">
        <v>100</v>
      </c>
      <c r="N9" s="35" t="s">
        <v>170</v>
      </c>
      <c r="O9" s="35" t="s">
        <v>102</v>
      </c>
      <c r="P9" s="35" t="s">
        <v>170</v>
      </c>
      <c r="Q9" s="35" t="s">
        <v>103</v>
      </c>
      <c r="R9" s="35" t="s">
        <v>170</v>
      </c>
      <c r="S9" s="35" t="s">
        <v>100</v>
      </c>
      <c r="T9" s="35" t="s">
        <v>170</v>
      </c>
      <c r="U9" s="49" t="s">
        <v>132</v>
      </c>
      <c r="V9" s="49" t="s">
        <v>170</v>
      </c>
      <c r="W9" s="50" t="s">
        <v>130</v>
      </c>
      <c r="X9" s="180" t="s">
        <v>170</v>
      </c>
      <c r="Y9" s="59" t="s">
        <v>104</v>
      </c>
      <c r="Z9" s="59" t="s">
        <v>136</v>
      </c>
      <c r="AA9" s="60" t="s">
        <v>134</v>
      </c>
      <c r="AB9" s="36" t="s">
        <v>105</v>
      </c>
    </row>
    <row r="10" spans="1:269" ht="14">
      <c r="A10" s="37" t="s">
        <v>119</v>
      </c>
      <c r="B10" s="181">
        <v>7.9711663341292937E-3</v>
      </c>
      <c r="C10" s="73">
        <f>B10*C$67</f>
        <v>931869.69342543639</v>
      </c>
      <c r="D10" s="181">
        <v>9.96271570851044E-3</v>
      </c>
      <c r="E10" s="73">
        <f>D10*E$67</f>
        <v>243301.20849974049</v>
      </c>
      <c r="F10" s="101">
        <v>4.8272170231949936E-3</v>
      </c>
      <c r="G10" s="73">
        <f>F10*G$67</f>
        <v>25691515.078985132</v>
      </c>
      <c r="H10" s="181">
        <v>0</v>
      </c>
      <c r="I10" s="73">
        <f>H10*I$67</f>
        <v>0</v>
      </c>
      <c r="J10" s="181">
        <v>1.6315215757817386E-2</v>
      </c>
      <c r="K10" s="73">
        <f>J10*K$67</f>
        <v>4635916.578990289</v>
      </c>
      <c r="L10" s="181">
        <v>2.4865538558265274E-2</v>
      </c>
      <c r="M10" s="73">
        <f>L10*M$67</f>
        <v>17085449.177125961</v>
      </c>
      <c r="N10" s="181">
        <v>2.4918263900083122E-2</v>
      </c>
      <c r="O10" s="73">
        <f>N10*O$67</f>
        <v>285216.7953873268</v>
      </c>
      <c r="P10" s="181">
        <v>0.25</v>
      </c>
      <c r="Q10" s="73">
        <f>P10*Q$67</f>
        <v>5000000</v>
      </c>
      <c r="R10" s="181">
        <v>7.4399999999999999E-6</v>
      </c>
      <c r="S10" s="73">
        <f>R10*S$67</f>
        <v>223.2</v>
      </c>
      <c r="T10" s="181">
        <v>0</v>
      </c>
      <c r="U10" s="73">
        <f>T10*U$67</f>
        <v>0</v>
      </c>
      <c r="V10" s="181">
        <v>0</v>
      </c>
      <c r="W10" s="73">
        <f>V10*W$67</f>
        <v>0</v>
      </c>
      <c r="X10" s="181">
        <v>6.6822055093737117E-3</v>
      </c>
      <c r="Y10" s="73">
        <f>X10*Y$67</f>
        <v>2459351.2020540335</v>
      </c>
      <c r="Z10" s="73">
        <v>1750000</v>
      </c>
      <c r="AA10" s="73">
        <f>SUM(Y10+Z10)</f>
        <v>4209351.2020540331</v>
      </c>
      <c r="AB10" s="74">
        <f>SUM(C10+E10+G10+I10+K10+M10+O10+Q10+S10+U10+W10+AA10)</f>
        <v>58082842.934467919</v>
      </c>
    </row>
    <row r="11" spans="1:269" ht="14">
      <c r="A11" s="37" t="s">
        <v>36</v>
      </c>
      <c r="B11" s="181">
        <v>4.0000007882070787E-3</v>
      </c>
      <c r="C11" s="73">
        <f t="shared" ref="C11:E26" si="0">B11*C$67</f>
        <v>467620.3396043164</v>
      </c>
      <c r="D11" s="181">
        <v>4.9997117070213551E-3</v>
      </c>
      <c r="E11" s="73">
        <f t="shared" si="0"/>
        <v>122098.82687202259</v>
      </c>
      <c r="F11" s="101">
        <v>3.3821566382264182E-3</v>
      </c>
      <c r="G11" s="73">
        <f t="shared" ref="G11:G66" si="1">F11*G$67</f>
        <v>18000584.571391806</v>
      </c>
      <c r="H11" s="181">
        <v>0</v>
      </c>
      <c r="I11" s="73">
        <f t="shared" ref="I11:I66" si="2">H11*I$67</f>
        <v>0</v>
      </c>
      <c r="J11" s="181">
        <v>1.491093776850769E-3</v>
      </c>
      <c r="K11" s="73">
        <f t="shared" ref="K11:K66" si="3">J11*K$67</f>
        <v>423689.54622126784</v>
      </c>
      <c r="L11" s="181">
        <v>1.3105234556647527E-2</v>
      </c>
      <c r="M11" s="73">
        <f t="shared" ref="M11:M66" si="4">L11*M$67</f>
        <v>9004784.6117328182</v>
      </c>
      <c r="N11" s="181">
        <v>9.1444190186806655E-3</v>
      </c>
      <c r="O11" s="73">
        <f t="shared" ref="O11:O66" si="5">N11*O$67</f>
        <v>104667.88130365386</v>
      </c>
      <c r="P11" s="181">
        <v>0</v>
      </c>
      <c r="Q11" s="73">
        <f t="shared" ref="Q11:Q66" si="6">P11*Q$67</f>
        <v>0</v>
      </c>
      <c r="R11" s="181">
        <v>1.486264E-2</v>
      </c>
      <c r="S11" s="73">
        <f t="shared" ref="S11:S66" si="7">R11*S$67</f>
        <v>445879.2</v>
      </c>
      <c r="T11" s="181">
        <v>9.5512672463014606E-3</v>
      </c>
      <c r="U11" s="73">
        <f t="shared" ref="U11:U66" si="8">T11*U$67</f>
        <v>24646778.949256331</v>
      </c>
      <c r="V11" s="181">
        <v>0</v>
      </c>
      <c r="W11" s="73">
        <f t="shared" ref="W11:W66" si="9">V11*W$67</f>
        <v>0</v>
      </c>
      <c r="X11" s="181">
        <v>1.7484020858619534E-3</v>
      </c>
      <c r="Y11" s="73">
        <f t="shared" ref="Y11:Y66" si="10">X11*Y$67</f>
        <v>643490.35142760596</v>
      </c>
      <c r="Z11" s="73">
        <v>1750000</v>
      </c>
      <c r="AA11" s="73">
        <f t="shared" ref="AA11:AA67" si="11">SUM(Y11+Z11)</f>
        <v>2393490.3514276058</v>
      </c>
      <c r="AB11" s="74">
        <f t="shared" ref="AB11:AB66" si="12">SUM(C11+E11+G11+I11+K11+M11+O11+Q11+S11+U11+W11+AA11)</f>
        <v>55609594.277809821</v>
      </c>
    </row>
    <row r="12" spans="1:269" ht="14">
      <c r="A12" s="37" t="s">
        <v>37</v>
      </c>
      <c r="B12" s="181">
        <v>0</v>
      </c>
      <c r="C12" s="73">
        <f t="shared" si="0"/>
        <v>0</v>
      </c>
      <c r="D12" s="181">
        <v>0</v>
      </c>
      <c r="E12" s="73">
        <f t="shared" si="0"/>
        <v>0</v>
      </c>
      <c r="F12" s="101"/>
      <c r="G12" s="73">
        <f t="shared" si="1"/>
        <v>0</v>
      </c>
      <c r="H12" s="181">
        <v>0</v>
      </c>
      <c r="I12" s="73">
        <f t="shared" si="2"/>
        <v>0</v>
      </c>
      <c r="J12" s="181">
        <v>4.6351986780385408E-5</v>
      </c>
      <c r="K12" s="73">
        <f t="shared" si="3"/>
        <v>13170.769371000591</v>
      </c>
      <c r="L12" s="181">
        <v>4.8549207305702193E-4</v>
      </c>
      <c r="M12" s="73">
        <f t="shared" si="4"/>
        <v>333588.19559353864</v>
      </c>
      <c r="N12" s="181">
        <v>1.3672066184407269E-3</v>
      </c>
      <c r="O12" s="73">
        <f t="shared" si="5"/>
        <v>15649.175717362355</v>
      </c>
      <c r="P12" s="181">
        <v>0</v>
      </c>
      <c r="Q12" s="73">
        <f t="shared" si="6"/>
        <v>0</v>
      </c>
      <c r="R12" s="181">
        <v>0</v>
      </c>
      <c r="S12" s="73">
        <f t="shared" si="7"/>
        <v>0</v>
      </c>
      <c r="T12" s="181">
        <v>0</v>
      </c>
      <c r="U12" s="73">
        <f t="shared" si="8"/>
        <v>0</v>
      </c>
      <c r="V12" s="181">
        <v>0</v>
      </c>
      <c r="W12" s="73">
        <f t="shared" si="9"/>
        <v>0</v>
      </c>
      <c r="X12" s="181">
        <v>0</v>
      </c>
      <c r="Y12" s="73">
        <f t="shared" si="10"/>
        <v>0</v>
      </c>
      <c r="Z12" s="73">
        <v>500000</v>
      </c>
      <c r="AA12" s="73">
        <f t="shared" si="11"/>
        <v>500000</v>
      </c>
      <c r="AB12" s="74">
        <f t="shared" si="12"/>
        <v>862408.1406819016</v>
      </c>
    </row>
    <row r="13" spans="1:269" ht="14">
      <c r="A13" s="37" t="s">
        <v>38</v>
      </c>
      <c r="B13" s="181">
        <v>2.2963024483429021E-2</v>
      </c>
      <c r="C13" s="73">
        <f t="shared" si="0"/>
        <v>2684493.7978365743</v>
      </c>
      <c r="D13" s="181">
        <v>2.192702708919549E-2</v>
      </c>
      <c r="E13" s="73">
        <f t="shared" si="0"/>
        <v>535483.73211639549</v>
      </c>
      <c r="F13" s="101">
        <v>1.5417976900886686E-2</v>
      </c>
      <c r="G13" s="73">
        <f t="shared" si="1"/>
        <v>82057878.096891612</v>
      </c>
      <c r="H13" s="181">
        <v>1.9249055207293687E-2</v>
      </c>
      <c r="I13" s="73">
        <f t="shared" si="2"/>
        <v>474436.51651686855</v>
      </c>
      <c r="J13" s="181">
        <v>2.1649520004863424E-2</v>
      </c>
      <c r="K13" s="73">
        <f t="shared" si="3"/>
        <v>6151642.13624564</v>
      </c>
      <c r="L13" s="181">
        <v>1.8772658238577274E-2</v>
      </c>
      <c r="M13" s="73">
        <f t="shared" si="4"/>
        <v>12898948.378021503</v>
      </c>
      <c r="N13" s="181">
        <v>1.5881058300075662E-2</v>
      </c>
      <c r="O13" s="73">
        <f t="shared" si="5"/>
        <v>181776.08897110118</v>
      </c>
      <c r="P13" s="181">
        <v>0</v>
      </c>
      <c r="Q13" s="73">
        <f t="shared" si="6"/>
        <v>0</v>
      </c>
      <c r="R13" s="181">
        <v>6.1556680000000003E-2</v>
      </c>
      <c r="S13" s="73">
        <f t="shared" si="7"/>
        <v>1846700.4000000001</v>
      </c>
      <c r="T13" s="181">
        <v>1.6379387401513619E-4</v>
      </c>
      <c r="U13" s="73">
        <f t="shared" si="8"/>
        <v>422665.52720076457</v>
      </c>
      <c r="V13" s="181">
        <v>3.5917393987930465E-2</v>
      </c>
      <c r="W13" s="73">
        <f t="shared" si="9"/>
        <v>2747258.7366512129</v>
      </c>
      <c r="X13" s="181">
        <v>2.097246110336427E-2</v>
      </c>
      <c r="Y13" s="73">
        <f t="shared" si="10"/>
        <v>7718805.917033907</v>
      </c>
      <c r="Z13" s="73">
        <v>1750000</v>
      </c>
      <c r="AA13" s="73">
        <f t="shared" si="11"/>
        <v>9468805.917033907</v>
      </c>
      <c r="AB13" s="74">
        <f t="shared" si="12"/>
        <v>119470089.32748559</v>
      </c>
    </row>
    <row r="14" spans="1:269" ht="14">
      <c r="A14" s="37" t="s">
        <v>39</v>
      </c>
      <c r="B14" s="181">
        <v>4.0120678632407049E-3</v>
      </c>
      <c r="C14" s="73">
        <f t="shared" si="0"/>
        <v>469031.04175764881</v>
      </c>
      <c r="D14" s="181">
        <v>5.0578940750053217E-3</v>
      </c>
      <c r="E14" s="73">
        <f t="shared" si="0"/>
        <v>123519.70857316192</v>
      </c>
      <c r="F14" s="101">
        <v>2.5913687982778706E-3</v>
      </c>
      <c r="G14" s="73">
        <f t="shared" si="1"/>
        <v>13791837.043220954</v>
      </c>
      <c r="H14" s="181">
        <v>1.0108082042770793E-2</v>
      </c>
      <c r="I14" s="73">
        <f t="shared" si="2"/>
        <v>249136.5514511987</v>
      </c>
      <c r="J14" s="181">
        <v>9.6485773668725031E-3</v>
      </c>
      <c r="K14" s="73">
        <f t="shared" si="3"/>
        <v>2741612.5194251547</v>
      </c>
      <c r="L14" s="181">
        <v>1.9342063440129797E-2</v>
      </c>
      <c r="M14" s="73">
        <f t="shared" si="4"/>
        <v>13290194.423608681</v>
      </c>
      <c r="N14" s="181">
        <v>1.962438937577201E-2</v>
      </c>
      <c r="O14" s="73">
        <f t="shared" si="5"/>
        <v>224622.60900817107</v>
      </c>
      <c r="P14" s="181">
        <v>0</v>
      </c>
      <c r="Q14" s="73">
        <f t="shared" si="6"/>
        <v>0</v>
      </c>
      <c r="R14" s="181">
        <v>0</v>
      </c>
      <c r="S14" s="73">
        <f t="shared" si="7"/>
        <v>0</v>
      </c>
      <c r="T14" s="181">
        <v>1.3194527133410033E-4</v>
      </c>
      <c r="U14" s="73">
        <f t="shared" si="8"/>
        <v>340481.09555624687</v>
      </c>
      <c r="V14" s="181">
        <v>0</v>
      </c>
      <c r="W14" s="73">
        <f t="shared" si="9"/>
        <v>0</v>
      </c>
      <c r="X14" s="181">
        <v>3.5652069485110883E-3</v>
      </c>
      <c r="Y14" s="73">
        <f t="shared" si="10"/>
        <v>1312155.991325374</v>
      </c>
      <c r="Z14" s="73">
        <v>1750000</v>
      </c>
      <c r="AA14" s="73">
        <f t="shared" si="11"/>
        <v>3062155.9913253738</v>
      </c>
      <c r="AB14" s="74">
        <f t="shared" si="12"/>
        <v>34292590.983926594</v>
      </c>
    </row>
    <row r="15" spans="1:269" ht="14">
      <c r="A15" s="37" t="s">
        <v>120</v>
      </c>
      <c r="B15" s="181">
        <v>0.14999529093187744</v>
      </c>
      <c r="C15" s="73">
        <f t="shared" si="0"/>
        <v>17535208.765809275</v>
      </c>
      <c r="D15" s="181">
        <v>0.14322024173748177</v>
      </c>
      <c r="E15" s="73">
        <f t="shared" si="0"/>
        <v>3497606.3671663459</v>
      </c>
      <c r="F15" s="101">
        <v>0.1611256995198094</v>
      </c>
      <c r="G15" s="73">
        <f t="shared" si="1"/>
        <v>857546557.14346886</v>
      </c>
      <c r="H15" s="181">
        <v>0.12745203144449554</v>
      </c>
      <c r="I15" s="73">
        <f t="shared" si="2"/>
        <v>3141343.6748112645</v>
      </c>
      <c r="J15" s="181">
        <v>0.11037559666627997</v>
      </c>
      <c r="K15" s="73">
        <f t="shared" si="3"/>
        <v>31362874.147464272</v>
      </c>
      <c r="L15" s="181">
        <v>4.4515647849891996E-2</v>
      </c>
      <c r="M15" s="73">
        <f t="shared" si="4"/>
        <v>30587306.088061936</v>
      </c>
      <c r="N15" s="181">
        <v>3.5422917838626472E-2</v>
      </c>
      <c r="O15" s="73">
        <f t="shared" si="5"/>
        <v>405454.05368982838</v>
      </c>
      <c r="P15" s="181">
        <v>0</v>
      </c>
      <c r="Q15" s="73">
        <f t="shared" si="6"/>
        <v>0</v>
      </c>
      <c r="R15" s="181">
        <v>2.1273799999999999E-2</v>
      </c>
      <c r="S15" s="73">
        <f t="shared" si="7"/>
        <v>638214</v>
      </c>
      <c r="T15" s="181">
        <v>0.15402670095211823</v>
      </c>
      <c r="U15" s="73">
        <f t="shared" si="8"/>
        <v>397461609.3084501</v>
      </c>
      <c r="V15" s="181">
        <v>0.23946784383828837</v>
      </c>
      <c r="W15" s="73">
        <f t="shared" si="9"/>
        <v>18316477.146221615</v>
      </c>
      <c r="X15" s="181">
        <v>0.18084132050311938</v>
      </c>
      <c r="Y15" s="73">
        <f t="shared" si="10"/>
        <v>66557713.368212424</v>
      </c>
      <c r="Z15" s="73">
        <v>1750000</v>
      </c>
      <c r="AA15" s="73">
        <f t="shared" si="11"/>
        <v>68307713.368212432</v>
      </c>
      <c r="AB15" s="74">
        <f t="shared" si="12"/>
        <v>1428800364.0633559</v>
      </c>
    </row>
    <row r="16" spans="1:269" ht="14">
      <c r="A16" s="37" t="s">
        <v>40</v>
      </c>
      <c r="B16" s="181">
        <v>1.6796176752772441E-2</v>
      </c>
      <c r="C16" s="73">
        <f t="shared" si="0"/>
        <v>1963558.0823737984</v>
      </c>
      <c r="D16" s="181">
        <v>1.6561547757488731E-2</v>
      </c>
      <c r="E16" s="73">
        <f t="shared" si="0"/>
        <v>404452.43063405965</v>
      </c>
      <c r="F16" s="101">
        <v>1.5260414682589244E-2</v>
      </c>
      <c r="G16" s="73">
        <f t="shared" si="1"/>
        <v>81219297.173801512</v>
      </c>
      <c r="H16" s="181">
        <v>2.3645767216534153E-2</v>
      </c>
      <c r="I16" s="73">
        <f t="shared" si="2"/>
        <v>582803.43153312011</v>
      </c>
      <c r="J16" s="181">
        <v>1.445304974089418E-2</v>
      </c>
      <c r="K16" s="73">
        <f t="shared" si="3"/>
        <v>4106788.0379502969</v>
      </c>
      <c r="L16" s="181">
        <v>1.7796227792132299E-2</v>
      </c>
      <c r="M16" s="73">
        <f t="shared" si="4"/>
        <v>12228029.759925105</v>
      </c>
      <c r="N16" s="181">
        <v>1.5034844832129506E-2</v>
      </c>
      <c r="O16" s="73">
        <f t="shared" si="5"/>
        <v>172090.24992111849</v>
      </c>
      <c r="P16" s="181">
        <v>0</v>
      </c>
      <c r="Q16" s="73">
        <f t="shared" si="6"/>
        <v>0</v>
      </c>
      <c r="R16" s="181">
        <v>6.0998399999999996E-3</v>
      </c>
      <c r="S16" s="73">
        <f t="shared" si="7"/>
        <v>182995.19999999998</v>
      </c>
      <c r="T16" s="181">
        <v>5.7583806875257772E-3</v>
      </c>
      <c r="U16" s="73">
        <f t="shared" si="8"/>
        <v>14859340.886527112</v>
      </c>
      <c r="V16" s="181">
        <v>5.8797861897210112E-3</v>
      </c>
      <c r="W16" s="73">
        <f t="shared" si="9"/>
        <v>449734.57664496149</v>
      </c>
      <c r="X16" s="181">
        <v>1.8746202980253302E-2</v>
      </c>
      <c r="Y16" s="73">
        <f t="shared" si="10"/>
        <v>6899443.1208021771</v>
      </c>
      <c r="Z16" s="73">
        <v>1750000</v>
      </c>
      <c r="AA16" s="73">
        <f t="shared" si="11"/>
        <v>8649443.1208021771</v>
      </c>
      <c r="AB16" s="74">
        <f t="shared" si="12"/>
        <v>124818532.95011325</v>
      </c>
    </row>
    <row r="17" spans="1:28" ht="14">
      <c r="A17" s="37" t="s">
        <v>121</v>
      </c>
      <c r="B17" s="181">
        <v>1.039382400719055E-2</v>
      </c>
      <c r="C17" s="73">
        <f t="shared" si="0"/>
        <v>1215090.6385717248</v>
      </c>
      <c r="D17" s="181">
        <v>1.299046852344804E-2</v>
      </c>
      <c r="E17" s="73">
        <f t="shared" si="0"/>
        <v>317242.48520239058</v>
      </c>
      <c r="F17" s="101">
        <v>1.9095341866004169E-2</v>
      </c>
      <c r="G17" s="73">
        <f t="shared" si="1"/>
        <v>101629626.58018558</v>
      </c>
      <c r="H17" s="181">
        <v>0</v>
      </c>
      <c r="I17" s="73">
        <f t="shared" si="2"/>
        <v>0</v>
      </c>
      <c r="J17" s="181">
        <v>1.2257063193736872E-2</v>
      </c>
      <c r="K17" s="73">
        <f t="shared" si="3"/>
        <v>3482805.456762041</v>
      </c>
      <c r="L17" s="181">
        <v>4.7533734259735221E-3</v>
      </c>
      <c r="M17" s="73">
        <f t="shared" si="4"/>
        <v>3266107.424099063</v>
      </c>
      <c r="N17" s="181">
        <v>1.0274964734039592E-2</v>
      </c>
      <c r="O17" s="73">
        <f t="shared" si="5"/>
        <v>117608.21403576167</v>
      </c>
      <c r="P17" s="181">
        <v>0</v>
      </c>
      <c r="Q17" s="73">
        <f t="shared" si="6"/>
        <v>0</v>
      </c>
      <c r="R17" s="181">
        <v>0</v>
      </c>
      <c r="S17" s="73">
        <f t="shared" si="7"/>
        <v>0</v>
      </c>
      <c r="T17" s="181">
        <v>2.3813321659182454E-2</v>
      </c>
      <c r="U17" s="73">
        <f t="shared" si="8"/>
        <v>61449612.899134584</v>
      </c>
      <c r="V17" s="181">
        <v>1.362787675756468E-2</v>
      </c>
      <c r="W17" s="73">
        <f t="shared" si="9"/>
        <v>1042372.4921915693</v>
      </c>
      <c r="X17" s="181">
        <v>1.1558472351141071E-2</v>
      </c>
      <c r="Y17" s="73">
        <f t="shared" si="10"/>
        <v>4254036.0111359935</v>
      </c>
      <c r="Z17" s="73">
        <v>1750000</v>
      </c>
      <c r="AA17" s="73">
        <f t="shared" si="11"/>
        <v>6004036.0111359935</v>
      </c>
      <c r="AB17" s="74">
        <f t="shared" si="12"/>
        <v>178524502.20131871</v>
      </c>
    </row>
    <row r="18" spans="1:28" ht="14">
      <c r="A18" s="37" t="s">
        <v>41</v>
      </c>
      <c r="B18" s="181">
        <v>4.0000007882070787E-3</v>
      </c>
      <c r="C18" s="73">
        <f t="shared" si="0"/>
        <v>467620.3396043164</v>
      </c>
      <c r="D18" s="181">
        <v>4.9997117070213551E-3</v>
      </c>
      <c r="E18" s="73">
        <f t="shared" si="0"/>
        <v>122098.82687202259</v>
      </c>
      <c r="F18" s="101">
        <v>3.9264582007069041E-3</v>
      </c>
      <c r="G18" s="73">
        <f t="shared" si="1"/>
        <v>20897477.694860082</v>
      </c>
      <c r="H18" s="181">
        <v>0</v>
      </c>
      <c r="I18" s="73">
        <f t="shared" si="2"/>
        <v>0</v>
      </c>
      <c r="J18" s="181">
        <v>3.1563201683592404E-3</v>
      </c>
      <c r="K18" s="73">
        <f t="shared" si="3"/>
        <v>896858.32012898359</v>
      </c>
      <c r="L18" s="181">
        <v>2.7130402279169313E-3</v>
      </c>
      <c r="M18" s="73">
        <f t="shared" si="4"/>
        <v>1864166.7792940328</v>
      </c>
      <c r="N18" s="181">
        <v>8.2751235757125997E-3</v>
      </c>
      <c r="O18" s="73">
        <f t="shared" si="5"/>
        <v>94717.843793723994</v>
      </c>
      <c r="P18" s="181">
        <v>0</v>
      </c>
      <c r="Q18" s="73">
        <f t="shared" si="6"/>
        <v>0</v>
      </c>
      <c r="R18" s="181">
        <v>0</v>
      </c>
      <c r="S18" s="73">
        <f t="shared" si="7"/>
        <v>0</v>
      </c>
      <c r="T18" s="181">
        <v>0</v>
      </c>
      <c r="U18" s="73">
        <f t="shared" si="8"/>
        <v>0</v>
      </c>
      <c r="V18" s="181">
        <v>0</v>
      </c>
      <c r="W18" s="73">
        <f t="shared" si="9"/>
        <v>0</v>
      </c>
      <c r="X18" s="181">
        <v>2.5808784629573153E-3</v>
      </c>
      <c r="Y18" s="73">
        <f t="shared" si="10"/>
        <v>949878.97952637763</v>
      </c>
      <c r="Z18" s="73">
        <v>1750000</v>
      </c>
      <c r="AA18" s="73">
        <f t="shared" si="11"/>
        <v>2699878.9795263777</v>
      </c>
      <c r="AB18" s="74">
        <f t="shared" si="12"/>
        <v>27042818.784079541</v>
      </c>
    </row>
    <row r="19" spans="1:28" ht="14">
      <c r="A19" s="37" t="s">
        <v>42</v>
      </c>
      <c r="B19" s="181">
        <v>4.0000007882070787E-3</v>
      </c>
      <c r="C19" s="73">
        <f t="shared" si="0"/>
        <v>467620.3396043164</v>
      </c>
      <c r="D19" s="181">
        <v>4.9997117070213551E-3</v>
      </c>
      <c r="E19" s="73">
        <f t="shared" si="0"/>
        <v>122098.82687202259</v>
      </c>
      <c r="F19" s="101">
        <v>4.242893288166189E-3</v>
      </c>
      <c r="G19" s="73">
        <f t="shared" si="1"/>
        <v>22581615.11439532</v>
      </c>
      <c r="H19" s="181">
        <v>8.0222758009711459E-2</v>
      </c>
      <c r="I19" s="73">
        <f t="shared" si="2"/>
        <v>1977271.3749130722</v>
      </c>
      <c r="J19" s="181">
        <v>1.4430250498192582E-3</v>
      </c>
      <c r="K19" s="73">
        <f t="shared" si="3"/>
        <v>410030.97057726723</v>
      </c>
      <c r="L19" s="181">
        <v>0</v>
      </c>
      <c r="M19" s="73">
        <f t="shared" si="4"/>
        <v>0</v>
      </c>
      <c r="N19" s="181">
        <v>0</v>
      </c>
      <c r="O19" s="73">
        <f t="shared" si="5"/>
        <v>0</v>
      </c>
      <c r="P19" s="181">
        <v>0</v>
      </c>
      <c r="Q19" s="73">
        <f t="shared" si="6"/>
        <v>0</v>
      </c>
      <c r="R19" s="181">
        <v>0</v>
      </c>
      <c r="S19" s="73">
        <f t="shared" si="7"/>
        <v>0</v>
      </c>
      <c r="T19" s="181">
        <v>7.0144262173573099E-2</v>
      </c>
      <c r="U19" s="73">
        <f t="shared" si="8"/>
        <v>181005313.72108698</v>
      </c>
      <c r="V19" s="181">
        <v>7.6613582501631514E-2</v>
      </c>
      <c r="W19" s="73">
        <f t="shared" si="9"/>
        <v>5860039.1204463104</v>
      </c>
      <c r="X19" s="181">
        <v>3.5290319967315499E-3</v>
      </c>
      <c r="Y19" s="73">
        <f t="shared" si="10"/>
        <v>1298841.9872860708</v>
      </c>
      <c r="Z19" s="73">
        <v>500000</v>
      </c>
      <c r="AA19" s="73">
        <f t="shared" si="11"/>
        <v>1798841.9872860708</v>
      </c>
      <c r="AB19" s="74">
        <f t="shared" si="12"/>
        <v>214222831.45518136</v>
      </c>
    </row>
    <row r="20" spans="1:28" ht="14">
      <c r="A20" s="37" t="s">
        <v>43</v>
      </c>
      <c r="B20" s="181">
        <v>7.2065200789794753E-2</v>
      </c>
      <c r="C20" s="73">
        <f t="shared" si="0"/>
        <v>8424786.7566251289</v>
      </c>
      <c r="D20" s="181">
        <v>7.0436587307749945E-2</v>
      </c>
      <c r="E20" s="73">
        <f t="shared" si="0"/>
        <v>1720144.1169232463</v>
      </c>
      <c r="F20" s="101">
        <v>5.1962958224759208E-2</v>
      </c>
      <c r="G20" s="73">
        <f t="shared" si="1"/>
        <v>276558339.5909707</v>
      </c>
      <c r="H20" s="181">
        <v>3.4103686093324211E-2</v>
      </c>
      <c r="I20" s="73">
        <f t="shared" si="2"/>
        <v>840562.50326357374</v>
      </c>
      <c r="J20" s="181">
        <v>7.977270529972319E-2</v>
      </c>
      <c r="K20" s="73">
        <f t="shared" si="3"/>
        <v>22667160.063310552</v>
      </c>
      <c r="L20" s="181">
        <v>2.5299106431908309E-2</v>
      </c>
      <c r="M20" s="73">
        <f t="shared" si="4"/>
        <v>17383359.550255619</v>
      </c>
      <c r="N20" s="181">
        <v>2.4205737462978161E-2</v>
      </c>
      <c r="O20" s="73">
        <f t="shared" si="5"/>
        <v>277061.15068291588</v>
      </c>
      <c r="P20" s="181">
        <v>0</v>
      </c>
      <c r="Q20" s="73">
        <f t="shared" si="6"/>
        <v>0</v>
      </c>
      <c r="R20" s="181">
        <v>0</v>
      </c>
      <c r="S20" s="73">
        <f t="shared" si="7"/>
        <v>0</v>
      </c>
      <c r="T20" s="181">
        <v>1.7820583624599286E-2</v>
      </c>
      <c r="U20" s="73">
        <f t="shared" si="8"/>
        <v>45985519.409721784</v>
      </c>
      <c r="V20" s="181">
        <v>2.2265987413418009E-2</v>
      </c>
      <c r="W20" s="73">
        <f t="shared" si="9"/>
        <v>1703086.4898559742</v>
      </c>
      <c r="X20" s="181">
        <v>6.6763051089306191E-2</v>
      </c>
      <c r="Y20" s="73">
        <f t="shared" si="10"/>
        <v>24571795.901660178</v>
      </c>
      <c r="Z20" s="73">
        <v>1750000</v>
      </c>
      <c r="AA20" s="73">
        <f t="shared" si="11"/>
        <v>26321795.901660178</v>
      </c>
      <c r="AB20" s="74">
        <f t="shared" si="12"/>
        <v>401881815.5332697</v>
      </c>
    </row>
    <row r="21" spans="1:28" ht="14">
      <c r="A21" s="37" t="s">
        <v>44</v>
      </c>
      <c r="B21" s="181">
        <v>2.8456640151536945E-2</v>
      </c>
      <c r="C21" s="73">
        <f t="shared" si="0"/>
        <v>3326725.2773777801</v>
      </c>
      <c r="D21" s="181">
        <v>2.7139041150210857E-2</v>
      </c>
      <c r="E21" s="73">
        <f t="shared" si="0"/>
        <v>662767.2316023279</v>
      </c>
      <c r="F21" s="101">
        <v>1.8580584326394423E-2</v>
      </c>
      <c r="G21" s="73">
        <f t="shared" si="1"/>
        <v>98889973.271175683</v>
      </c>
      <c r="H21" s="181">
        <v>3.7886714588496517E-2</v>
      </c>
      <c r="I21" s="73">
        <f t="shared" si="2"/>
        <v>933803.79961839586</v>
      </c>
      <c r="J21" s="181">
        <v>2.6495205796995262E-2</v>
      </c>
      <c r="K21" s="73">
        <f t="shared" si="3"/>
        <v>7528528.3162250882</v>
      </c>
      <c r="L21" s="181">
        <v>3.4186157126159113E-2</v>
      </c>
      <c r="M21" s="73">
        <f t="shared" si="4"/>
        <v>23489772.754030481</v>
      </c>
      <c r="N21" s="181">
        <v>3.1801874124474779E-2</v>
      </c>
      <c r="O21" s="73">
        <f t="shared" si="5"/>
        <v>364007.2463099481</v>
      </c>
      <c r="P21" s="181">
        <v>2.9600000000000001E-2</v>
      </c>
      <c r="Q21" s="73">
        <f t="shared" si="6"/>
        <v>592000</v>
      </c>
      <c r="R21" s="181">
        <v>0</v>
      </c>
      <c r="S21" s="73">
        <f t="shared" si="7"/>
        <v>0</v>
      </c>
      <c r="T21" s="181">
        <v>1.9035360168962637E-2</v>
      </c>
      <c r="U21" s="73">
        <f t="shared" si="8"/>
        <v>49120216.428408884</v>
      </c>
      <c r="V21" s="181">
        <v>5.2261377037071927E-2</v>
      </c>
      <c r="W21" s="73">
        <f t="shared" si="9"/>
        <v>3997381.4554242287</v>
      </c>
      <c r="X21" s="181">
        <v>2.1245077642641601E-2</v>
      </c>
      <c r="Y21" s="73">
        <f t="shared" si="10"/>
        <v>7819141.0253497176</v>
      </c>
      <c r="Z21" s="73">
        <v>1750000</v>
      </c>
      <c r="AA21" s="73">
        <f t="shared" si="11"/>
        <v>9569141.0253497176</v>
      </c>
      <c r="AB21" s="74">
        <f t="shared" si="12"/>
        <v>198474316.8055225</v>
      </c>
    </row>
    <row r="22" spans="1:28" ht="14">
      <c r="A22" s="37" t="s">
        <v>45</v>
      </c>
      <c r="B22" s="181">
        <v>0</v>
      </c>
      <c r="C22" s="73">
        <f t="shared" si="0"/>
        <v>0</v>
      </c>
      <c r="D22" s="181">
        <v>0</v>
      </c>
      <c r="E22" s="73">
        <f t="shared" si="0"/>
        <v>0</v>
      </c>
      <c r="F22" s="101"/>
      <c r="G22" s="73">
        <f t="shared" si="1"/>
        <v>0</v>
      </c>
      <c r="H22" s="181">
        <v>0</v>
      </c>
      <c r="I22" s="73">
        <f t="shared" si="2"/>
        <v>0</v>
      </c>
      <c r="J22" s="181">
        <v>1.7548814033110216E-4</v>
      </c>
      <c r="K22" s="73">
        <f t="shared" si="3"/>
        <v>49864.395987979609</v>
      </c>
      <c r="L22" s="181">
        <v>1.2723498709283419E-3</v>
      </c>
      <c r="M22" s="73">
        <f t="shared" si="4"/>
        <v>874248.87276543851</v>
      </c>
      <c r="N22" s="181">
        <v>2.1623571049098375E-3</v>
      </c>
      <c r="O22" s="73">
        <f t="shared" si="5"/>
        <v>24750.543072278168</v>
      </c>
      <c r="P22" s="181">
        <v>0</v>
      </c>
      <c r="Q22" s="73">
        <f t="shared" si="6"/>
        <v>0</v>
      </c>
      <c r="R22" s="181">
        <v>0</v>
      </c>
      <c r="S22" s="73">
        <f t="shared" si="7"/>
        <v>0</v>
      </c>
      <c r="T22" s="181">
        <v>0</v>
      </c>
      <c r="U22" s="73">
        <f t="shared" si="8"/>
        <v>0</v>
      </c>
      <c r="V22" s="181">
        <v>0</v>
      </c>
      <c r="W22" s="73">
        <f t="shared" si="9"/>
        <v>0</v>
      </c>
      <c r="X22" s="181">
        <v>0</v>
      </c>
      <c r="Y22" s="73">
        <f t="shared" si="10"/>
        <v>0</v>
      </c>
      <c r="Z22" s="73">
        <v>500000</v>
      </c>
      <c r="AA22" s="73">
        <f t="shared" si="11"/>
        <v>500000</v>
      </c>
      <c r="AB22" s="74">
        <f t="shared" si="12"/>
        <v>1448863.8118256964</v>
      </c>
    </row>
    <row r="23" spans="1:28" ht="14">
      <c r="A23" s="37" t="s">
        <v>46</v>
      </c>
      <c r="B23" s="181">
        <v>4.0000007882070787E-3</v>
      </c>
      <c r="C23" s="73">
        <f t="shared" si="0"/>
        <v>467620.3396043164</v>
      </c>
      <c r="D23" s="181">
        <v>4.9997117070213551E-3</v>
      </c>
      <c r="E23" s="73">
        <f t="shared" si="0"/>
        <v>122098.82687202259</v>
      </c>
      <c r="F23" s="101">
        <v>6.4085296934216262E-3</v>
      </c>
      <c r="G23" s="73">
        <f t="shared" si="1"/>
        <v>34107610.339775458</v>
      </c>
      <c r="H23" s="181">
        <v>9.6743633162504339E-3</v>
      </c>
      <c r="I23" s="73">
        <f t="shared" si="2"/>
        <v>238446.57214870898</v>
      </c>
      <c r="J23" s="181">
        <v>4.395293938013062E-3</v>
      </c>
      <c r="K23" s="73">
        <f t="shared" si="3"/>
        <v>1248908.7695335606</v>
      </c>
      <c r="L23" s="181">
        <v>4.3360021509393429E-3</v>
      </c>
      <c r="M23" s="73">
        <f t="shared" si="4"/>
        <v>2979325.9537971299</v>
      </c>
      <c r="N23" s="181">
        <v>9.0965592500638053E-3</v>
      </c>
      <c r="O23" s="73">
        <f t="shared" si="5"/>
        <v>104120.07388466131</v>
      </c>
      <c r="P23" s="181">
        <v>0</v>
      </c>
      <c r="Q23" s="73">
        <f t="shared" si="6"/>
        <v>0</v>
      </c>
      <c r="R23" s="181">
        <v>0</v>
      </c>
      <c r="S23" s="73">
        <f t="shared" si="7"/>
        <v>0</v>
      </c>
      <c r="T23" s="181">
        <v>1.2385730543621905E-4</v>
      </c>
      <c r="U23" s="73">
        <f t="shared" si="8"/>
        <v>319610.32495652413</v>
      </c>
      <c r="V23" s="181">
        <v>1.4701659115240687E-2</v>
      </c>
      <c r="W23" s="73">
        <f t="shared" si="9"/>
        <v>1124504.2293765845</v>
      </c>
      <c r="X23" s="181">
        <v>1.0366159355429982E-2</v>
      </c>
      <c r="Y23" s="73">
        <f t="shared" si="10"/>
        <v>3815211.3753008195</v>
      </c>
      <c r="Z23" s="73">
        <v>1750000</v>
      </c>
      <c r="AA23" s="73">
        <f t="shared" si="11"/>
        <v>5565211.3753008191</v>
      </c>
      <c r="AB23" s="74">
        <f t="shared" si="12"/>
        <v>46277456.80524978</v>
      </c>
    </row>
    <row r="24" spans="1:28" ht="14">
      <c r="A24" s="37" t="s">
        <v>47</v>
      </c>
      <c r="B24" s="181">
        <v>4.0000007882070787E-3</v>
      </c>
      <c r="C24" s="73">
        <f t="shared" si="0"/>
        <v>467620.3396043164</v>
      </c>
      <c r="D24" s="181">
        <v>4.9997117070213551E-3</v>
      </c>
      <c r="E24" s="73">
        <f t="shared" si="0"/>
        <v>122098.82687202259</v>
      </c>
      <c r="F24" s="101">
        <v>2.1098521794228053E-3</v>
      </c>
      <c r="G24" s="73">
        <f t="shared" si="1"/>
        <v>11229099.255660512</v>
      </c>
      <c r="H24" s="181">
        <v>0</v>
      </c>
      <c r="I24" s="73">
        <f t="shared" si="2"/>
        <v>0</v>
      </c>
      <c r="J24" s="181">
        <v>5.2717985889886602E-3</v>
      </c>
      <c r="K24" s="73">
        <f t="shared" si="3"/>
        <v>1497964.7736549224</v>
      </c>
      <c r="L24" s="181">
        <v>1.2386698073794607E-2</v>
      </c>
      <c r="M24" s="73">
        <f t="shared" si="4"/>
        <v>8511068.437802868</v>
      </c>
      <c r="N24" s="181">
        <v>1.2063959116452144E-2</v>
      </c>
      <c r="O24" s="73">
        <f t="shared" si="5"/>
        <v>138085.21222326122</v>
      </c>
      <c r="P24" s="181">
        <v>0</v>
      </c>
      <c r="Q24" s="73">
        <f t="shared" si="6"/>
        <v>0</v>
      </c>
      <c r="R24" s="181">
        <v>4.1416639999999998E-2</v>
      </c>
      <c r="S24" s="73">
        <f t="shared" si="7"/>
        <v>1242499.2</v>
      </c>
      <c r="T24" s="181">
        <v>0</v>
      </c>
      <c r="U24" s="73">
        <f t="shared" si="8"/>
        <v>0</v>
      </c>
      <c r="V24" s="181">
        <v>0</v>
      </c>
      <c r="W24" s="73">
        <f t="shared" si="9"/>
        <v>0</v>
      </c>
      <c r="X24" s="181">
        <v>3.0193503043309047E-3</v>
      </c>
      <c r="Y24" s="73">
        <f t="shared" si="10"/>
        <v>1111256.2745880573</v>
      </c>
      <c r="Z24" s="73">
        <v>1750000</v>
      </c>
      <c r="AA24" s="73">
        <f t="shared" si="11"/>
        <v>2861256.2745880573</v>
      </c>
      <c r="AB24" s="74">
        <f t="shared" si="12"/>
        <v>26069692.320405956</v>
      </c>
    </row>
    <row r="25" spans="1:28" ht="14">
      <c r="A25" s="37" t="s">
        <v>122</v>
      </c>
      <c r="B25" s="181">
        <v>4.7704553788513099E-2</v>
      </c>
      <c r="C25" s="73">
        <f t="shared" si="0"/>
        <v>5576903.8118754532</v>
      </c>
      <c r="D25" s="181">
        <v>4.3961645729089012E-2</v>
      </c>
      <c r="E25" s="73">
        <f t="shared" si="0"/>
        <v>1073594.976155753</v>
      </c>
      <c r="F25" s="101">
        <v>5.5572313875778954E-2</v>
      </c>
      <c r="G25" s="73">
        <f t="shared" si="1"/>
        <v>295768127.48491108</v>
      </c>
      <c r="H25" s="181">
        <v>7.7014970899263235E-2</v>
      </c>
      <c r="I25" s="73">
        <f t="shared" si="2"/>
        <v>1898208.2039667857</v>
      </c>
      <c r="J25" s="181">
        <v>3.7887463031241582E-2</v>
      </c>
      <c r="K25" s="73">
        <f t="shared" si="3"/>
        <v>10765601.914780419</v>
      </c>
      <c r="L25" s="181">
        <v>2.6078669615529973E-2</v>
      </c>
      <c r="M25" s="73">
        <f t="shared" si="4"/>
        <v>17919007.99892753</v>
      </c>
      <c r="N25" s="181">
        <v>2.5802915922351479E-2</v>
      </c>
      <c r="O25" s="73">
        <f t="shared" si="5"/>
        <v>295342.6057502011</v>
      </c>
      <c r="P25" s="181">
        <v>0</v>
      </c>
      <c r="Q25" s="73">
        <f t="shared" si="6"/>
        <v>0</v>
      </c>
      <c r="R25" s="181">
        <v>0</v>
      </c>
      <c r="S25" s="73">
        <f t="shared" si="7"/>
        <v>0</v>
      </c>
      <c r="T25" s="181">
        <v>0.10463183896232617</v>
      </c>
      <c r="U25" s="73">
        <f t="shared" si="8"/>
        <v>269999544.50622696</v>
      </c>
      <c r="V25" s="181">
        <v>0</v>
      </c>
      <c r="W25" s="73">
        <f t="shared" si="9"/>
        <v>0</v>
      </c>
      <c r="X25" s="181">
        <v>4.4062629232095564E-2</v>
      </c>
      <c r="Y25" s="73">
        <f t="shared" si="10"/>
        <v>16217022.959799983</v>
      </c>
      <c r="Z25" s="73">
        <v>1750000</v>
      </c>
      <c r="AA25" s="73">
        <f t="shared" si="11"/>
        <v>17967022.959799983</v>
      </c>
      <c r="AB25" s="74">
        <f t="shared" si="12"/>
        <v>621263354.46239424</v>
      </c>
    </row>
    <row r="26" spans="1:28" ht="14">
      <c r="A26" s="37" t="s">
        <v>48</v>
      </c>
      <c r="B26" s="181">
        <v>1.6268584714793696E-2</v>
      </c>
      <c r="C26" s="73">
        <f t="shared" si="0"/>
        <v>1901879.9025345542</v>
      </c>
      <c r="D26" s="181">
        <v>1.6437762914576107E-2</v>
      </c>
      <c r="E26" s="73">
        <f t="shared" si="0"/>
        <v>401429.45951295609</v>
      </c>
      <c r="F26" s="101">
        <v>1.1710545790366544E-2</v>
      </c>
      <c r="G26" s="73">
        <f t="shared" si="1"/>
        <v>62326110.947714634</v>
      </c>
      <c r="H26" s="181">
        <v>0</v>
      </c>
      <c r="I26" s="73">
        <f t="shared" si="2"/>
        <v>0</v>
      </c>
      <c r="J26" s="181">
        <v>2.0578006090248676E-2</v>
      </c>
      <c r="K26" s="73">
        <f t="shared" si="3"/>
        <v>5847174.8711406011</v>
      </c>
      <c r="L26" s="181">
        <v>2.5708246807689385E-2</v>
      </c>
      <c r="M26" s="73">
        <f t="shared" si="4"/>
        <v>17664485.457918461</v>
      </c>
      <c r="N26" s="181">
        <v>2.6394568180055984E-2</v>
      </c>
      <c r="O26" s="73">
        <f t="shared" si="5"/>
        <v>302114.71321333753</v>
      </c>
      <c r="P26" s="181">
        <v>0</v>
      </c>
      <c r="Q26" s="73">
        <f t="shared" si="6"/>
        <v>0</v>
      </c>
      <c r="R26" s="181">
        <v>0</v>
      </c>
      <c r="S26" s="73">
        <f t="shared" si="7"/>
        <v>0</v>
      </c>
      <c r="T26" s="181">
        <v>1.1069161214109289E-3</v>
      </c>
      <c r="U26" s="73">
        <f t="shared" si="8"/>
        <v>2856366.2031703414</v>
      </c>
      <c r="V26" s="181">
        <v>0</v>
      </c>
      <c r="W26" s="73">
        <f t="shared" si="9"/>
        <v>0</v>
      </c>
      <c r="X26" s="181">
        <v>1.3066973341810215E-2</v>
      </c>
      <c r="Y26" s="73">
        <f t="shared" si="10"/>
        <v>4809232.0043597296</v>
      </c>
      <c r="Z26" s="73">
        <v>1750000</v>
      </c>
      <c r="AA26" s="73">
        <f t="shared" si="11"/>
        <v>6559232.0043597296</v>
      </c>
      <c r="AB26" s="74">
        <f t="shared" si="12"/>
        <v>97858793.55956462</v>
      </c>
    </row>
    <row r="27" spans="1:28" ht="14">
      <c r="A27" s="37" t="s">
        <v>49</v>
      </c>
      <c r="B27" s="181">
        <v>4.3500210315230376E-3</v>
      </c>
      <c r="C27" s="73">
        <f t="shared" ref="C27:E42" si="13">B27*C$67</f>
        <v>508539.47780307633</v>
      </c>
      <c r="D27" s="181">
        <v>5.4368433014395316E-3</v>
      </c>
      <c r="E27" s="73">
        <f t="shared" si="13"/>
        <v>132774.09336632892</v>
      </c>
      <c r="F27" s="101">
        <v>4.3121357875993901E-3</v>
      </c>
      <c r="G27" s="73">
        <f t="shared" si="1"/>
        <v>22950138.98845087</v>
      </c>
      <c r="H27" s="181">
        <v>0</v>
      </c>
      <c r="I27" s="73">
        <f t="shared" si="2"/>
        <v>0</v>
      </c>
      <c r="J27" s="181">
        <v>9.2896155252231629E-3</v>
      </c>
      <c r="K27" s="73">
        <f t="shared" si="3"/>
        <v>2639614.6557358736</v>
      </c>
      <c r="L27" s="181">
        <v>1.965541975786389E-2</v>
      </c>
      <c r="M27" s="73">
        <f t="shared" si="4"/>
        <v>13505505.804395065</v>
      </c>
      <c r="N27" s="181">
        <v>1.9733958098018877E-2</v>
      </c>
      <c r="O27" s="73">
        <f t="shared" si="5"/>
        <v>225876.74292212451</v>
      </c>
      <c r="P27" s="181">
        <v>0</v>
      </c>
      <c r="Q27" s="73">
        <f t="shared" si="6"/>
        <v>0</v>
      </c>
      <c r="R27" s="181">
        <v>0</v>
      </c>
      <c r="S27" s="73">
        <f t="shared" si="7"/>
        <v>0</v>
      </c>
      <c r="T27" s="181">
        <v>0</v>
      </c>
      <c r="U27" s="73">
        <f t="shared" si="8"/>
        <v>0</v>
      </c>
      <c r="V27" s="181">
        <v>0</v>
      </c>
      <c r="W27" s="73">
        <f t="shared" si="9"/>
        <v>0</v>
      </c>
      <c r="X27" s="181">
        <v>5.530684206394073E-3</v>
      </c>
      <c r="Y27" s="73">
        <f t="shared" si="10"/>
        <v>2035539.737904792</v>
      </c>
      <c r="Z27" s="73">
        <v>1750000</v>
      </c>
      <c r="AA27" s="73">
        <f t="shared" si="11"/>
        <v>3785539.7379047917</v>
      </c>
      <c r="AB27" s="74">
        <f t="shared" si="12"/>
        <v>43747989.500578135</v>
      </c>
    </row>
    <row r="28" spans="1:28" ht="14">
      <c r="A28" s="37" t="s">
        <v>50</v>
      </c>
      <c r="B28" s="181">
        <v>5.8977219304703959E-3</v>
      </c>
      <c r="C28" s="73">
        <f t="shared" si="13"/>
        <v>689473.54714261519</v>
      </c>
      <c r="D28" s="181">
        <v>6.1328929805395472E-3</v>
      </c>
      <c r="E28" s="73">
        <f t="shared" si="13"/>
        <v>149772.44331986888</v>
      </c>
      <c r="F28" s="101">
        <v>3.6888070342967726E-3</v>
      </c>
      <c r="G28" s="73">
        <f t="shared" si="1"/>
        <v>19632645.702424996</v>
      </c>
      <c r="H28" s="181">
        <v>0</v>
      </c>
      <c r="I28" s="73">
        <f t="shared" si="2"/>
        <v>0</v>
      </c>
      <c r="J28" s="181">
        <v>8.1962927949747761E-3</v>
      </c>
      <c r="K28" s="73">
        <f t="shared" si="3"/>
        <v>2328950.4851491721</v>
      </c>
      <c r="L28" s="181">
        <v>1.770502651767732E-2</v>
      </c>
      <c r="M28" s="73">
        <f t="shared" si="4"/>
        <v>12165364.125881489</v>
      </c>
      <c r="N28" s="181">
        <v>1.701019083329039E-2</v>
      </c>
      <c r="O28" s="73">
        <f t="shared" si="5"/>
        <v>194700.24628729385</v>
      </c>
      <c r="P28" s="181">
        <v>0</v>
      </c>
      <c r="Q28" s="73">
        <f t="shared" si="6"/>
        <v>0</v>
      </c>
      <c r="R28" s="181">
        <v>3.5838799999999998E-3</v>
      </c>
      <c r="S28" s="73">
        <f t="shared" si="7"/>
        <v>107516.4</v>
      </c>
      <c r="T28" s="181">
        <v>0</v>
      </c>
      <c r="U28" s="73">
        <f t="shared" si="8"/>
        <v>0</v>
      </c>
      <c r="V28" s="181">
        <v>0</v>
      </c>
      <c r="W28" s="73">
        <f t="shared" si="9"/>
        <v>0</v>
      </c>
      <c r="X28" s="181">
        <v>4.9327165828193728E-3</v>
      </c>
      <c r="Y28" s="73">
        <f t="shared" si="10"/>
        <v>1815460.8445267184</v>
      </c>
      <c r="Z28" s="73">
        <v>1750000</v>
      </c>
      <c r="AA28" s="73">
        <f t="shared" si="11"/>
        <v>3565460.8445267184</v>
      </c>
      <c r="AB28" s="74">
        <f t="shared" si="12"/>
        <v>38833883.794732146</v>
      </c>
    </row>
    <row r="29" spans="1:28" ht="14">
      <c r="A29" s="37" t="s">
        <v>51</v>
      </c>
      <c r="B29" s="181">
        <v>6.5866899843342909E-3</v>
      </c>
      <c r="C29" s="73">
        <f t="shared" si="13"/>
        <v>770017.40010239626</v>
      </c>
      <c r="D29" s="181">
        <v>7.6200570030074575E-3</v>
      </c>
      <c r="E29" s="73">
        <f t="shared" si="13"/>
        <v>186090.73388342408</v>
      </c>
      <c r="F29" s="101">
        <v>5.1488137927355512E-3</v>
      </c>
      <c r="G29" s="73">
        <f t="shared" si="1"/>
        <v>27403124.110504407</v>
      </c>
      <c r="H29" s="181">
        <v>0</v>
      </c>
      <c r="I29" s="73">
        <f t="shared" si="2"/>
        <v>0</v>
      </c>
      <c r="J29" s="181">
        <v>1.3276876815404265E-2</v>
      </c>
      <c r="K29" s="73">
        <f t="shared" si="3"/>
        <v>3772582.2483378863</v>
      </c>
      <c r="L29" s="181">
        <v>2.6934131716115035E-2</v>
      </c>
      <c r="M29" s="73">
        <f t="shared" si="4"/>
        <v>18506807.624029364</v>
      </c>
      <c r="N29" s="181">
        <v>2.5733104724428066E-2</v>
      </c>
      <c r="O29" s="73">
        <f t="shared" si="5"/>
        <v>294543.5402039935</v>
      </c>
      <c r="P29" s="181">
        <v>8.8200000000000001E-2</v>
      </c>
      <c r="Q29" s="73">
        <f t="shared" si="6"/>
        <v>1764000</v>
      </c>
      <c r="R29" s="181">
        <v>0</v>
      </c>
      <c r="S29" s="73">
        <f t="shared" si="7"/>
        <v>0</v>
      </c>
      <c r="T29" s="181">
        <v>0</v>
      </c>
      <c r="U29" s="73">
        <f t="shared" si="8"/>
        <v>0</v>
      </c>
      <c r="V29" s="181">
        <v>0</v>
      </c>
      <c r="W29" s="73">
        <f t="shared" si="9"/>
        <v>0</v>
      </c>
      <c r="X29" s="181">
        <v>7.2346981091170699E-3</v>
      </c>
      <c r="Y29" s="73">
        <f t="shared" si="10"/>
        <v>2662693.2479397394</v>
      </c>
      <c r="Z29" s="73">
        <v>1750000</v>
      </c>
      <c r="AA29" s="73">
        <f t="shared" si="11"/>
        <v>4412693.2479397394</v>
      </c>
      <c r="AB29" s="74">
        <f t="shared" si="12"/>
        <v>57109858.905001223</v>
      </c>
    </row>
    <row r="30" spans="1:28" ht="14">
      <c r="A30" s="37" t="s">
        <v>52</v>
      </c>
      <c r="B30" s="181">
        <v>9.531262727726279E-3</v>
      </c>
      <c r="C30" s="73">
        <f t="shared" si="13"/>
        <v>1114252.8588338338</v>
      </c>
      <c r="D30" s="181">
        <v>1.1912588870511758E-2</v>
      </c>
      <c r="E30" s="73">
        <f t="shared" si="13"/>
        <v>290919.3992236692</v>
      </c>
      <c r="F30" s="101">
        <v>7.0202282988743158E-3</v>
      </c>
      <c r="G30" s="73">
        <f t="shared" si="1"/>
        <v>37363205.410448365</v>
      </c>
      <c r="H30" s="181">
        <v>1.2964103484238503E-2</v>
      </c>
      <c r="I30" s="73">
        <f t="shared" si="2"/>
        <v>319529.66161662649</v>
      </c>
      <c r="J30" s="181">
        <v>1.5663002055443003E-2</v>
      </c>
      <c r="K30" s="73">
        <f t="shared" si="3"/>
        <v>4450592.1333461497</v>
      </c>
      <c r="L30" s="181">
        <v>1.841591101324818E-2</v>
      </c>
      <c r="M30" s="73">
        <f t="shared" si="4"/>
        <v>12653822.515448343</v>
      </c>
      <c r="N30" s="181">
        <v>1.9546946994269922E-2</v>
      </c>
      <c r="O30" s="73">
        <f t="shared" si="5"/>
        <v>223736.19621602169</v>
      </c>
      <c r="P30" s="181">
        <v>0</v>
      </c>
      <c r="Q30" s="73">
        <f t="shared" si="6"/>
        <v>0</v>
      </c>
      <c r="R30" s="181">
        <v>0</v>
      </c>
      <c r="S30" s="73">
        <f t="shared" si="7"/>
        <v>0</v>
      </c>
      <c r="T30" s="181">
        <v>1.6571689170716635E-3</v>
      </c>
      <c r="U30" s="73">
        <f t="shared" si="8"/>
        <v>4276278.2076336276</v>
      </c>
      <c r="V30" s="181">
        <v>6.3462052403915467E-3</v>
      </c>
      <c r="W30" s="73">
        <f t="shared" si="9"/>
        <v>485410.15523303451</v>
      </c>
      <c r="X30" s="181">
        <v>9.5044023996227345E-3</v>
      </c>
      <c r="Y30" s="73">
        <f t="shared" si="10"/>
        <v>3498046.1815380771</v>
      </c>
      <c r="Z30" s="73">
        <v>1750000</v>
      </c>
      <c r="AA30" s="73">
        <f t="shared" si="11"/>
        <v>5248046.1815380771</v>
      </c>
      <c r="AB30" s="74">
        <f t="shared" si="12"/>
        <v>66425792.71953775</v>
      </c>
    </row>
    <row r="31" spans="1:28" ht="14">
      <c r="A31" s="37" t="s">
        <v>53</v>
      </c>
      <c r="B31" s="181">
        <v>4.0000007882070787E-3</v>
      </c>
      <c r="C31" s="73">
        <f t="shared" si="13"/>
        <v>467620.3396043164</v>
      </c>
      <c r="D31" s="181">
        <v>4.9997117070213551E-3</v>
      </c>
      <c r="E31" s="73">
        <f t="shared" si="13"/>
        <v>122098.82687202259</v>
      </c>
      <c r="F31" s="101">
        <v>2.751338763769819E-3</v>
      </c>
      <c r="G31" s="73">
        <f t="shared" si="1"/>
        <v>14643232.528626522</v>
      </c>
      <c r="H31" s="181">
        <v>0</v>
      </c>
      <c r="I31" s="73">
        <f t="shared" si="2"/>
        <v>0</v>
      </c>
      <c r="J31" s="181">
        <v>4.2678745247134702E-3</v>
      </c>
      <c r="K31" s="73">
        <f t="shared" si="3"/>
        <v>1212702.9491895814</v>
      </c>
      <c r="L31" s="181">
        <v>1.1074647454818532E-2</v>
      </c>
      <c r="M31" s="73">
        <f t="shared" si="4"/>
        <v>7609540.6419819715</v>
      </c>
      <c r="N31" s="181">
        <v>1.3629764932224255E-2</v>
      </c>
      <c r="O31" s="73">
        <f t="shared" si="5"/>
        <v>156007.5730572305</v>
      </c>
      <c r="P31" s="181">
        <v>0</v>
      </c>
      <c r="Q31" s="73">
        <f t="shared" si="6"/>
        <v>0</v>
      </c>
      <c r="R31" s="181">
        <v>2.0924400000000001E-3</v>
      </c>
      <c r="S31" s="73">
        <f t="shared" si="7"/>
        <v>62773.200000000004</v>
      </c>
      <c r="T31" s="181">
        <v>3.2934854087348195E-3</v>
      </c>
      <c r="U31" s="73">
        <f t="shared" si="8"/>
        <v>8498747.312627146</v>
      </c>
      <c r="V31" s="181">
        <v>0</v>
      </c>
      <c r="W31" s="73">
        <f t="shared" si="9"/>
        <v>0</v>
      </c>
      <c r="X31" s="181">
        <v>1.3062813347491909E-3</v>
      </c>
      <c r="Y31" s="73">
        <f t="shared" si="10"/>
        <v>480770.09399509936</v>
      </c>
      <c r="Z31" s="73">
        <v>1750000</v>
      </c>
      <c r="AA31" s="73">
        <f t="shared" si="11"/>
        <v>2230770.0939950994</v>
      </c>
      <c r="AB31" s="74">
        <f t="shared" si="12"/>
        <v>35003493.465953894</v>
      </c>
    </row>
    <row r="32" spans="1:28" ht="14">
      <c r="A32" s="37" t="s">
        <v>54</v>
      </c>
      <c r="B32" s="181">
        <v>2.2508153931850437E-2</v>
      </c>
      <c r="C32" s="73">
        <f t="shared" si="13"/>
        <v>2631317.127863836</v>
      </c>
      <c r="D32" s="181">
        <v>2.0663470171890269E-2</v>
      </c>
      <c r="E32" s="73">
        <f t="shared" si="13"/>
        <v>504626.18945601868</v>
      </c>
      <c r="F32" s="101">
        <v>3.1312422155633256E-2</v>
      </c>
      <c r="G32" s="73">
        <f t="shared" si="1"/>
        <v>166651626.00013974</v>
      </c>
      <c r="H32" s="181">
        <v>2.7261929059244391E-2</v>
      </c>
      <c r="I32" s="73">
        <f t="shared" si="2"/>
        <v>671931.92170268379</v>
      </c>
      <c r="J32" s="181">
        <v>1.750911926983759E-2</v>
      </c>
      <c r="K32" s="73">
        <f t="shared" si="3"/>
        <v>4975160.458277463</v>
      </c>
      <c r="L32" s="181">
        <v>8.9155321929826146E-3</v>
      </c>
      <c r="M32" s="73">
        <f t="shared" si="4"/>
        <v>6125983.2282861173</v>
      </c>
      <c r="N32" s="181">
        <v>1.3403561577009523E-2</v>
      </c>
      <c r="O32" s="73">
        <f t="shared" si="5"/>
        <v>153418.42814974795</v>
      </c>
      <c r="P32" s="181">
        <v>3.1800000000000002E-2</v>
      </c>
      <c r="Q32" s="73">
        <f t="shared" si="6"/>
        <v>636000</v>
      </c>
      <c r="R32" s="181">
        <v>0</v>
      </c>
      <c r="S32" s="73">
        <f t="shared" si="7"/>
        <v>0</v>
      </c>
      <c r="T32" s="181">
        <v>2.4820515460663432E-2</v>
      </c>
      <c r="U32" s="73">
        <f t="shared" si="8"/>
        <v>64048648.434840642</v>
      </c>
      <c r="V32" s="181">
        <v>0</v>
      </c>
      <c r="W32" s="73">
        <f t="shared" si="9"/>
        <v>0</v>
      </c>
      <c r="X32" s="181">
        <v>2.295667355980802E-2</v>
      </c>
      <c r="Y32" s="73">
        <f t="shared" si="10"/>
        <v>8449085.0566144083</v>
      </c>
      <c r="Z32" s="73">
        <v>1750000</v>
      </c>
      <c r="AA32" s="73">
        <f t="shared" si="11"/>
        <v>10199085.056614408</v>
      </c>
      <c r="AB32" s="74">
        <f t="shared" si="12"/>
        <v>256597796.84533066</v>
      </c>
    </row>
    <row r="33" spans="1:28" ht="14">
      <c r="A33" s="37" t="s">
        <v>55</v>
      </c>
      <c r="B33" s="181">
        <v>2.6761469461587657E-2</v>
      </c>
      <c r="C33" s="73">
        <f t="shared" si="13"/>
        <v>3128551.2429979816</v>
      </c>
      <c r="D33" s="181">
        <v>2.5332856176809103E-2</v>
      </c>
      <c r="E33" s="73">
        <f t="shared" si="13"/>
        <v>618658.07505705673</v>
      </c>
      <c r="F33" s="101">
        <v>3.9320375761444017E-2</v>
      </c>
      <c r="G33" s="73">
        <f t="shared" si="1"/>
        <v>209271723.63132715</v>
      </c>
      <c r="H33" s="181">
        <v>5.1526044879055322E-2</v>
      </c>
      <c r="I33" s="73">
        <f t="shared" si="2"/>
        <v>1269975.953575531</v>
      </c>
      <c r="J33" s="181">
        <v>2.2606431797646258E-2</v>
      </c>
      <c r="K33" s="73">
        <f t="shared" si="3"/>
        <v>6423545.5735426722</v>
      </c>
      <c r="L33" s="181">
        <v>5.8954713375621703E-3</v>
      </c>
      <c r="M33" s="73">
        <f t="shared" si="4"/>
        <v>4050858.4069915437</v>
      </c>
      <c r="N33" s="181">
        <v>1.0985701140428569E-2</v>
      </c>
      <c r="O33" s="73">
        <f t="shared" si="5"/>
        <v>125743.36988001342</v>
      </c>
      <c r="P33" s="181">
        <v>0</v>
      </c>
      <c r="Q33" s="73">
        <f t="shared" si="6"/>
        <v>0</v>
      </c>
      <c r="R33" s="181">
        <v>0</v>
      </c>
      <c r="S33" s="73">
        <f t="shared" si="7"/>
        <v>0</v>
      </c>
      <c r="T33" s="181">
        <v>5.7666060826049401E-2</v>
      </c>
      <c r="U33" s="73">
        <f t="shared" si="8"/>
        <v>148805662.89299181</v>
      </c>
      <c r="V33" s="181">
        <v>7.1192526277808572E-4</v>
      </c>
      <c r="W33" s="73">
        <f t="shared" si="9"/>
        <v>54453.919977241108</v>
      </c>
      <c r="X33" s="181">
        <v>2.332246484163791E-2</v>
      </c>
      <c r="Y33" s="73">
        <f t="shared" si="10"/>
        <v>8583712.6473712735</v>
      </c>
      <c r="Z33" s="73">
        <v>1750000</v>
      </c>
      <c r="AA33" s="73">
        <f t="shared" si="11"/>
        <v>10333712.647371273</v>
      </c>
      <c r="AB33" s="74">
        <f t="shared" si="12"/>
        <v>384082885.71371228</v>
      </c>
    </row>
    <row r="34" spans="1:28" ht="14">
      <c r="A34" s="37" t="s">
        <v>56</v>
      </c>
      <c r="B34" s="181">
        <v>2.8064272544592088E-2</v>
      </c>
      <c r="C34" s="73">
        <f t="shared" si="13"/>
        <v>3280855.5180141754</v>
      </c>
      <c r="D34" s="181">
        <v>2.8106884981926147E-2</v>
      </c>
      <c r="E34" s="73">
        <f t="shared" si="13"/>
        <v>686403.11370365066</v>
      </c>
      <c r="F34" s="101">
        <v>1.7999396429771681E-2</v>
      </c>
      <c r="G34" s="73">
        <f t="shared" si="1"/>
        <v>95796762.931126773</v>
      </c>
      <c r="H34" s="181">
        <v>1.3049734785192828E-2</v>
      </c>
      <c r="I34" s="73">
        <f t="shared" si="2"/>
        <v>321640.23876922269</v>
      </c>
      <c r="J34" s="181">
        <v>3.4075173305705156E-2</v>
      </c>
      <c r="K34" s="73">
        <f t="shared" si="3"/>
        <v>9682351.9348308463</v>
      </c>
      <c r="L34" s="181">
        <v>3.3386737908759678E-2</v>
      </c>
      <c r="M34" s="73">
        <f t="shared" si="4"/>
        <v>22940480.954937082</v>
      </c>
      <c r="N34" s="181">
        <v>3.1572938617114597E-2</v>
      </c>
      <c r="O34" s="73">
        <f t="shared" si="5"/>
        <v>361386.82893169631</v>
      </c>
      <c r="P34" s="181">
        <v>0</v>
      </c>
      <c r="Q34" s="73">
        <f t="shared" si="6"/>
        <v>0</v>
      </c>
      <c r="R34" s="181">
        <v>1.4982000000000001E-3</v>
      </c>
      <c r="S34" s="73">
        <f t="shared" si="7"/>
        <v>44946</v>
      </c>
      <c r="T34" s="181">
        <v>5.1262796285633219E-4</v>
      </c>
      <c r="U34" s="73">
        <f t="shared" si="8"/>
        <v>1322822.1719604917</v>
      </c>
      <c r="V34" s="181">
        <v>0</v>
      </c>
      <c r="W34" s="73">
        <f t="shared" si="9"/>
        <v>0</v>
      </c>
      <c r="X34" s="181">
        <v>2.5822289101344945E-2</v>
      </c>
      <c r="Y34" s="73">
        <f t="shared" si="10"/>
        <v>9503760.0463041663</v>
      </c>
      <c r="Z34" s="73">
        <v>1750000</v>
      </c>
      <c r="AA34" s="73">
        <f t="shared" si="11"/>
        <v>11253760.046304166</v>
      </c>
      <c r="AB34" s="74">
        <f t="shared" si="12"/>
        <v>145691409.73857811</v>
      </c>
    </row>
    <row r="35" spans="1:28" ht="14">
      <c r="A35" s="37" t="s">
        <v>57</v>
      </c>
      <c r="B35" s="181">
        <v>1.4502728740063465E-2</v>
      </c>
      <c r="C35" s="73">
        <f t="shared" si="13"/>
        <v>1695442.4005645139</v>
      </c>
      <c r="D35" s="181">
        <v>1.3179201125970673E-2</v>
      </c>
      <c r="E35" s="73">
        <f t="shared" si="13"/>
        <v>321851.5568270915</v>
      </c>
      <c r="F35" s="101">
        <v>1.2561388114774242E-2</v>
      </c>
      <c r="G35" s="73">
        <f t="shared" si="1"/>
        <v>66854481.705093808</v>
      </c>
      <c r="H35" s="181">
        <v>1.412113532122952E-2</v>
      </c>
      <c r="I35" s="73">
        <f t="shared" si="2"/>
        <v>348047.32902053796</v>
      </c>
      <c r="J35" s="181">
        <v>1.4226622577048351E-2</v>
      </c>
      <c r="K35" s="73">
        <f t="shared" si="3"/>
        <v>4042449.4807170792</v>
      </c>
      <c r="L35" s="181">
        <v>2.4944885073894217E-2</v>
      </c>
      <c r="M35" s="73">
        <f t="shared" si="4"/>
        <v>17139969.245411783</v>
      </c>
      <c r="N35" s="181">
        <v>2.3183629924150746E-2</v>
      </c>
      <c r="O35" s="73">
        <f t="shared" si="5"/>
        <v>265362.01153202943</v>
      </c>
      <c r="P35" s="181">
        <v>0</v>
      </c>
      <c r="Q35" s="73">
        <f t="shared" si="6"/>
        <v>0</v>
      </c>
      <c r="R35" s="181">
        <v>6.4973760000000005E-2</v>
      </c>
      <c r="S35" s="73">
        <f t="shared" si="7"/>
        <v>1949212.8</v>
      </c>
      <c r="T35" s="181">
        <v>2.9883284321942211E-3</v>
      </c>
      <c r="U35" s="73">
        <f t="shared" si="8"/>
        <v>7711298.2389419833</v>
      </c>
      <c r="V35" s="181">
        <v>0.10960952530449433</v>
      </c>
      <c r="W35" s="73">
        <f t="shared" si="9"/>
        <v>8383841.1582464278</v>
      </c>
      <c r="X35" s="181">
        <v>1.4769228994015121E-2</v>
      </c>
      <c r="Y35" s="73">
        <f t="shared" si="10"/>
        <v>5435738.3993786676</v>
      </c>
      <c r="Z35" s="73">
        <v>1750000</v>
      </c>
      <c r="AA35" s="73">
        <f t="shared" si="11"/>
        <v>7185738.3993786676</v>
      </c>
      <c r="AB35" s="74">
        <f t="shared" si="12"/>
        <v>115897694.32573393</v>
      </c>
    </row>
    <row r="36" spans="1:28" ht="14">
      <c r="A36" s="37" t="s">
        <v>58</v>
      </c>
      <c r="B36" s="181">
        <v>4.0000007882070787E-3</v>
      </c>
      <c r="C36" s="73">
        <f t="shared" si="13"/>
        <v>467620.3396043164</v>
      </c>
      <c r="D36" s="181">
        <v>4.9997117070213551E-3</v>
      </c>
      <c r="E36" s="73">
        <f t="shared" si="13"/>
        <v>122098.82687202259</v>
      </c>
      <c r="F36" s="101">
        <v>1.7596299440576987E-3</v>
      </c>
      <c r="G36" s="73">
        <f t="shared" si="1"/>
        <v>9365139.1731442343</v>
      </c>
      <c r="H36" s="181">
        <v>0</v>
      </c>
      <c r="I36" s="73">
        <f t="shared" si="2"/>
        <v>0</v>
      </c>
      <c r="J36" s="181">
        <v>8.044116589003978E-3</v>
      </c>
      <c r="K36" s="73">
        <f t="shared" si="3"/>
        <v>2285710.1010402562</v>
      </c>
      <c r="L36" s="181">
        <v>2.2599961708368969E-2</v>
      </c>
      <c r="M36" s="73">
        <f t="shared" si="4"/>
        <v>15528740.560697872</v>
      </c>
      <c r="N36" s="181">
        <v>2.2570120449282634E-2</v>
      </c>
      <c r="O36" s="73">
        <f t="shared" si="5"/>
        <v>258339.7243027389</v>
      </c>
      <c r="P36" s="181">
        <v>1.2699999999999999E-2</v>
      </c>
      <c r="Q36" s="73">
        <f t="shared" si="6"/>
        <v>254000</v>
      </c>
      <c r="R36" s="181">
        <v>3.0188320000000001E-2</v>
      </c>
      <c r="S36" s="73">
        <f t="shared" si="7"/>
        <v>905649.6</v>
      </c>
      <c r="T36" s="181">
        <v>0</v>
      </c>
      <c r="U36" s="73">
        <f t="shared" si="8"/>
        <v>0</v>
      </c>
      <c r="V36" s="181">
        <v>0</v>
      </c>
      <c r="W36" s="73">
        <f t="shared" si="9"/>
        <v>0</v>
      </c>
      <c r="X36" s="181">
        <v>2.2617568348459508E-3</v>
      </c>
      <c r="Y36" s="73">
        <f t="shared" si="10"/>
        <v>832427.91361764853</v>
      </c>
      <c r="Z36" s="73">
        <v>1750000</v>
      </c>
      <c r="AA36" s="73">
        <f t="shared" si="11"/>
        <v>2582427.9136176486</v>
      </c>
      <c r="AB36" s="74">
        <f t="shared" si="12"/>
        <v>31769726.239279091</v>
      </c>
    </row>
    <row r="37" spans="1:28" ht="14">
      <c r="A37" s="37" t="s">
        <v>59</v>
      </c>
      <c r="B37" s="181">
        <v>1.5553990547464145E-2</v>
      </c>
      <c r="C37" s="73">
        <f t="shared" si="13"/>
        <v>1818340.2271947181</v>
      </c>
      <c r="D37" s="181">
        <v>1.4524641105794968E-2</v>
      </c>
      <c r="E37" s="73">
        <f t="shared" si="13"/>
        <v>354708.77996108984</v>
      </c>
      <c r="F37" s="101">
        <v>1.0081033960235486E-2</v>
      </c>
      <c r="G37" s="73">
        <f t="shared" si="1"/>
        <v>53653489.113221735</v>
      </c>
      <c r="H37" s="181">
        <v>3.0173169008556402E-2</v>
      </c>
      <c r="I37" s="73">
        <f t="shared" si="2"/>
        <v>743686.01692565263</v>
      </c>
      <c r="J37" s="181">
        <v>1.891439157024296E-2</v>
      </c>
      <c r="K37" s="73">
        <f t="shared" si="3"/>
        <v>5374464.1053851368</v>
      </c>
      <c r="L37" s="181">
        <v>2.828471879090658E-2</v>
      </c>
      <c r="M37" s="73">
        <f t="shared" si="4"/>
        <v>19434814.341903728</v>
      </c>
      <c r="N37" s="181">
        <v>2.6024314458275938E-2</v>
      </c>
      <c r="O37" s="73">
        <f t="shared" si="5"/>
        <v>297876.75424357224</v>
      </c>
      <c r="P37" s="181">
        <v>0</v>
      </c>
      <c r="Q37" s="73">
        <f t="shared" si="6"/>
        <v>0</v>
      </c>
      <c r="R37" s="181">
        <v>0</v>
      </c>
      <c r="S37" s="73">
        <f t="shared" si="7"/>
        <v>0</v>
      </c>
      <c r="T37" s="181">
        <v>7.1253402151907107E-3</v>
      </c>
      <c r="U37" s="73">
        <f t="shared" si="8"/>
        <v>18386741.85250717</v>
      </c>
      <c r="V37" s="181">
        <v>4.1361788010482975E-4</v>
      </c>
      <c r="W37" s="73">
        <f t="shared" si="9"/>
        <v>31636.909268389296</v>
      </c>
      <c r="X37" s="181">
        <v>1.2480709934853387E-2</v>
      </c>
      <c r="Y37" s="73">
        <f t="shared" si="10"/>
        <v>4593460.7874169117</v>
      </c>
      <c r="Z37" s="73">
        <v>1750000</v>
      </c>
      <c r="AA37" s="73">
        <f t="shared" si="11"/>
        <v>6343460.7874169117</v>
      </c>
      <c r="AB37" s="74">
        <f t="shared" si="12"/>
        <v>106439218.8880281</v>
      </c>
    </row>
    <row r="38" spans="1:28" ht="14">
      <c r="A38" s="37" t="s">
        <v>123</v>
      </c>
      <c r="B38" s="181">
        <v>4.0000007882070787E-3</v>
      </c>
      <c r="C38" s="73">
        <f t="shared" si="13"/>
        <v>467620.3396043164</v>
      </c>
      <c r="D38" s="181">
        <v>4.9997117070213551E-3</v>
      </c>
      <c r="E38" s="73">
        <f t="shared" si="13"/>
        <v>122098.82687202259</v>
      </c>
      <c r="F38" s="101">
        <v>9.5923583204391544E-4</v>
      </c>
      <c r="G38" s="73">
        <f t="shared" si="1"/>
        <v>5105264.9435155941</v>
      </c>
      <c r="H38" s="181">
        <v>0</v>
      </c>
      <c r="I38" s="73">
        <f t="shared" si="2"/>
        <v>0</v>
      </c>
      <c r="J38" s="181">
        <v>3.2486512752591336E-3</v>
      </c>
      <c r="K38" s="73">
        <f t="shared" si="3"/>
        <v>923093.90999721107</v>
      </c>
      <c r="L38" s="181">
        <v>1.6107108197156446E-2</v>
      </c>
      <c r="M38" s="73">
        <f t="shared" si="4"/>
        <v>11067412.750708761</v>
      </c>
      <c r="N38" s="181">
        <v>1.1692857485385576E-2</v>
      </c>
      <c r="O38" s="73">
        <f t="shared" si="5"/>
        <v>133837.54800394684</v>
      </c>
      <c r="P38" s="181">
        <v>0</v>
      </c>
      <c r="Q38" s="73">
        <f t="shared" si="6"/>
        <v>0</v>
      </c>
      <c r="R38" s="181">
        <v>6.4205040000000005E-2</v>
      </c>
      <c r="S38" s="73">
        <f t="shared" si="7"/>
        <v>1926151.2000000002</v>
      </c>
      <c r="T38" s="181">
        <v>0</v>
      </c>
      <c r="U38" s="73">
        <f t="shared" si="8"/>
        <v>0</v>
      </c>
      <c r="V38" s="181">
        <v>0</v>
      </c>
      <c r="W38" s="73">
        <f t="shared" si="9"/>
        <v>0</v>
      </c>
      <c r="X38" s="181">
        <v>1.1535523047198452E-3</v>
      </c>
      <c r="Y38" s="73">
        <f t="shared" si="10"/>
        <v>424558.9638428897</v>
      </c>
      <c r="Z38" s="73">
        <v>1750000</v>
      </c>
      <c r="AA38" s="73">
        <f t="shared" si="11"/>
        <v>2174558.9638428898</v>
      </c>
      <c r="AB38" s="74">
        <f t="shared" si="12"/>
        <v>21920038.482544743</v>
      </c>
    </row>
    <row r="39" spans="1:28" ht="14">
      <c r="A39" s="37" t="s">
        <v>60</v>
      </c>
      <c r="B39" s="181">
        <v>0</v>
      </c>
      <c r="C39" s="73">
        <f t="shared" si="13"/>
        <v>0</v>
      </c>
      <c r="D39" s="181">
        <v>0</v>
      </c>
      <c r="E39" s="73">
        <f t="shared" si="13"/>
        <v>0</v>
      </c>
      <c r="F39" s="101"/>
      <c r="G39" s="73">
        <f t="shared" si="1"/>
        <v>0</v>
      </c>
      <c r="H39" s="181">
        <v>0</v>
      </c>
      <c r="I39" s="73">
        <f t="shared" si="2"/>
        <v>0</v>
      </c>
      <c r="J39" s="181">
        <v>3.6626381375819872E-5</v>
      </c>
      <c r="K39" s="73">
        <f t="shared" si="3"/>
        <v>10407.26958006834</v>
      </c>
      <c r="L39" s="181">
        <v>4.6732749716112403E-4</v>
      </c>
      <c r="M39" s="73">
        <f t="shared" si="4"/>
        <v>321107.0688499455</v>
      </c>
      <c r="N39" s="181">
        <v>1.3547706155717786E-3</v>
      </c>
      <c r="O39" s="73">
        <f t="shared" si="5"/>
        <v>15506.832057309168</v>
      </c>
      <c r="P39" s="181">
        <v>0</v>
      </c>
      <c r="Q39" s="73">
        <f t="shared" si="6"/>
        <v>0</v>
      </c>
      <c r="R39" s="181">
        <v>0</v>
      </c>
      <c r="S39" s="73">
        <f t="shared" si="7"/>
        <v>0</v>
      </c>
      <c r="T39" s="181">
        <v>0</v>
      </c>
      <c r="U39" s="73">
        <f t="shared" si="8"/>
        <v>0</v>
      </c>
      <c r="V39" s="181">
        <v>0</v>
      </c>
      <c r="W39" s="73">
        <f t="shared" si="9"/>
        <v>0</v>
      </c>
      <c r="X39" s="181">
        <v>0</v>
      </c>
      <c r="Y39" s="73">
        <f t="shared" si="10"/>
        <v>0</v>
      </c>
      <c r="Z39" s="73">
        <v>500000</v>
      </c>
      <c r="AA39" s="73">
        <f t="shared" si="11"/>
        <v>500000</v>
      </c>
      <c r="AB39" s="74">
        <f t="shared" si="12"/>
        <v>847021.17048732308</v>
      </c>
    </row>
    <row r="40" spans="1:28" ht="14">
      <c r="A40" s="37" t="s">
        <v>61</v>
      </c>
      <c r="B40" s="181">
        <v>4.0000007882070787E-3</v>
      </c>
      <c r="C40" s="73">
        <f t="shared" si="13"/>
        <v>467620.3396043164</v>
      </c>
      <c r="D40" s="181">
        <v>4.9997117070213551E-3</v>
      </c>
      <c r="E40" s="73">
        <f t="shared" si="13"/>
        <v>122098.82687202259</v>
      </c>
      <c r="F40" s="101">
        <v>2.305053140984191E-3</v>
      </c>
      <c r="G40" s="73">
        <f t="shared" si="1"/>
        <v>12268001.882844953</v>
      </c>
      <c r="H40" s="181">
        <v>0</v>
      </c>
      <c r="I40" s="73">
        <f t="shared" si="2"/>
        <v>0</v>
      </c>
      <c r="J40" s="181">
        <v>4.7748333585096014E-3</v>
      </c>
      <c r="K40" s="73">
        <f t="shared" si="3"/>
        <v>1356753.6866942307</v>
      </c>
      <c r="L40" s="181">
        <v>1.2341234079197157E-2</v>
      </c>
      <c r="M40" s="73">
        <f t="shared" si="4"/>
        <v>8479829.5097875465</v>
      </c>
      <c r="N40" s="181">
        <v>1.2587684419092166E-2</v>
      </c>
      <c r="O40" s="73">
        <f t="shared" si="5"/>
        <v>144079.82136141017</v>
      </c>
      <c r="P40" s="181">
        <v>0</v>
      </c>
      <c r="Q40" s="73">
        <f t="shared" si="6"/>
        <v>0</v>
      </c>
      <c r="R40" s="181">
        <v>1.8680760000000001E-2</v>
      </c>
      <c r="S40" s="73">
        <f t="shared" si="7"/>
        <v>560422.80000000005</v>
      </c>
      <c r="T40" s="181">
        <v>0</v>
      </c>
      <c r="U40" s="73">
        <f t="shared" si="8"/>
        <v>0</v>
      </c>
      <c r="V40" s="181">
        <v>0</v>
      </c>
      <c r="W40" s="73">
        <f t="shared" si="9"/>
        <v>0</v>
      </c>
      <c r="X40" s="181">
        <v>3.3709029813361584E-3</v>
      </c>
      <c r="Y40" s="73">
        <f t="shared" si="10"/>
        <v>1240643.4204286553</v>
      </c>
      <c r="Z40" s="73">
        <v>1750000</v>
      </c>
      <c r="AA40" s="73">
        <f t="shared" si="11"/>
        <v>2990643.4204286551</v>
      </c>
      <c r="AB40" s="74">
        <f t="shared" si="12"/>
        <v>26389450.287593137</v>
      </c>
    </row>
    <row r="41" spans="1:28" ht="14">
      <c r="A41" s="37" t="s">
        <v>62</v>
      </c>
      <c r="B41" s="181">
        <v>1.0824898211735486E-2</v>
      </c>
      <c r="C41" s="73">
        <f t="shared" si="13"/>
        <v>1265485.3951223397</v>
      </c>
      <c r="D41" s="181">
        <v>1.0009506029949908E-2</v>
      </c>
      <c r="E41" s="73">
        <f t="shared" si="13"/>
        <v>244443.88305609557</v>
      </c>
      <c r="F41" s="101">
        <v>8.2723359535586405E-3</v>
      </c>
      <c r="G41" s="73">
        <f t="shared" si="1"/>
        <v>44027198.874231689</v>
      </c>
      <c r="H41" s="181">
        <v>0</v>
      </c>
      <c r="I41" s="73">
        <f t="shared" si="2"/>
        <v>0</v>
      </c>
      <c r="J41" s="181">
        <v>8.0205754970083427E-3</v>
      </c>
      <c r="K41" s="73">
        <f t="shared" si="3"/>
        <v>2279020.9747491856</v>
      </c>
      <c r="L41" s="181">
        <v>1.0390934629218185E-2</v>
      </c>
      <c r="M41" s="73">
        <f t="shared" si="4"/>
        <v>7139752.2757991301</v>
      </c>
      <c r="N41" s="181">
        <v>8.9135992684615528E-3</v>
      </c>
      <c r="O41" s="73">
        <f t="shared" si="5"/>
        <v>102025.89670418187</v>
      </c>
      <c r="P41" s="181">
        <v>0</v>
      </c>
      <c r="Q41" s="73">
        <f t="shared" si="6"/>
        <v>0</v>
      </c>
      <c r="R41" s="181">
        <v>3.3834799999999999E-3</v>
      </c>
      <c r="S41" s="73">
        <f t="shared" si="7"/>
        <v>101504.4</v>
      </c>
      <c r="T41" s="181">
        <v>9.8586354362418692E-4</v>
      </c>
      <c r="U41" s="73">
        <f t="shared" si="8"/>
        <v>2543993.3997496427</v>
      </c>
      <c r="V41" s="181">
        <v>0</v>
      </c>
      <c r="W41" s="73">
        <f t="shared" si="9"/>
        <v>0</v>
      </c>
      <c r="X41" s="181">
        <v>1.0746402356736762E-2</v>
      </c>
      <c r="Y41" s="73">
        <f t="shared" si="10"/>
        <v>3955157.8467202699</v>
      </c>
      <c r="Z41" s="73">
        <v>1750000</v>
      </c>
      <c r="AA41" s="73">
        <f t="shared" si="11"/>
        <v>5705157.8467202699</v>
      </c>
      <c r="AB41" s="74">
        <f t="shared" si="12"/>
        <v>63408582.946132541</v>
      </c>
    </row>
    <row r="42" spans="1:28" ht="14">
      <c r="A42" s="37" t="s">
        <v>63</v>
      </c>
      <c r="B42" s="181">
        <v>4.0000007882070787E-3</v>
      </c>
      <c r="C42" s="73">
        <f t="shared" si="13"/>
        <v>467620.3396043164</v>
      </c>
      <c r="D42" s="181">
        <v>4.9997117070213551E-3</v>
      </c>
      <c r="E42" s="73">
        <f t="shared" si="13"/>
        <v>122098.82687202259</v>
      </c>
      <c r="F42" s="101">
        <v>1.6628297078972916E-3</v>
      </c>
      <c r="G42" s="73">
        <f t="shared" si="1"/>
        <v>8849946.9381536506</v>
      </c>
      <c r="H42" s="181">
        <v>0</v>
      </c>
      <c r="I42" s="73">
        <f t="shared" si="2"/>
        <v>0</v>
      </c>
      <c r="J42" s="181">
        <v>4.2874772126035828E-3</v>
      </c>
      <c r="K42" s="73">
        <f t="shared" si="3"/>
        <v>1218272.9905014166</v>
      </c>
      <c r="L42" s="181">
        <v>6.3390844658535936E-3</v>
      </c>
      <c r="M42" s="73">
        <f t="shared" si="4"/>
        <v>4355671.0109883957</v>
      </c>
      <c r="N42" s="181">
        <v>1.1432643546567131E-2</v>
      </c>
      <c r="O42" s="73">
        <f t="shared" si="5"/>
        <v>130859.11475344004</v>
      </c>
      <c r="P42" s="181">
        <v>0</v>
      </c>
      <c r="Q42" s="73">
        <f t="shared" si="6"/>
        <v>0</v>
      </c>
      <c r="R42" s="181">
        <v>0</v>
      </c>
      <c r="S42" s="73">
        <f t="shared" si="7"/>
        <v>0</v>
      </c>
      <c r="T42" s="181">
        <v>0</v>
      </c>
      <c r="U42" s="73">
        <f t="shared" si="8"/>
        <v>0</v>
      </c>
      <c r="V42" s="181">
        <v>0</v>
      </c>
      <c r="W42" s="73">
        <f t="shared" si="9"/>
        <v>0</v>
      </c>
      <c r="X42" s="181">
        <v>1.9802717383737476E-3</v>
      </c>
      <c r="Y42" s="73">
        <f t="shared" si="10"/>
        <v>728828.77866166737</v>
      </c>
      <c r="Z42" s="73">
        <v>1750000</v>
      </c>
      <c r="AA42" s="73">
        <f t="shared" si="11"/>
        <v>2478828.7786616674</v>
      </c>
      <c r="AB42" s="74">
        <f t="shared" si="12"/>
        <v>17623297.999534909</v>
      </c>
    </row>
    <row r="43" spans="1:28" ht="14">
      <c r="A43" s="37" t="s">
        <v>64</v>
      </c>
      <c r="B43" s="181">
        <v>3.87170788775432E-2</v>
      </c>
      <c r="C43" s="73">
        <f t="shared" ref="C43:E58" si="14">B43*C$67</f>
        <v>4526222.5014008107</v>
      </c>
      <c r="D43" s="181">
        <v>3.4746745857539799E-2</v>
      </c>
      <c r="E43" s="73">
        <f t="shared" si="14"/>
        <v>848556.30793029629</v>
      </c>
      <c r="F43" s="101">
        <v>7.9413917579111176E-2</v>
      </c>
      <c r="G43" s="73">
        <f t="shared" si="1"/>
        <v>422658407.76610172</v>
      </c>
      <c r="H43" s="181">
        <v>4.0435154138584548E-2</v>
      </c>
      <c r="I43" s="73">
        <f t="shared" si="2"/>
        <v>996615.85816760967</v>
      </c>
      <c r="J43" s="181">
        <v>2.7761775583581769E-2</v>
      </c>
      <c r="K43" s="73">
        <f t="shared" si="3"/>
        <v>7888420.0859230254</v>
      </c>
      <c r="L43" s="181">
        <v>6.1351651496623439E-3</v>
      </c>
      <c r="M43" s="73">
        <f t="shared" si="4"/>
        <v>4215555.2799393376</v>
      </c>
      <c r="N43" s="181">
        <v>1.1345968375056279E-2</v>
      </c>
      <c r="O43" s="73">
        <f t="shared" si="5"/>
        <v>129867.02257731176</v>
      </c>
      <c r="P43" s="181">
        <v>0</v>
      </c>
      <c r="Q43" s="73">
        <f t="shared" si="6"/>
        <v>0</v>
      </c>
      <c r="R43" s="181">
        <v>0</v>
      </c>
      <c r="S43" s="73">
        <f t="shared" si="7"/>
        <v>0</v>
      </c>
      <c r="T43" s="181">
        <v>7.0630846897513783E-2</v>
      </c>
      <c r="U43" s="73">
        <f t="shared" si="8"/>
        <v>182260932.04081255</v>
      </c>
      <c r="V43" s="181">
        <v>0</v>
      </c>
      <c r="W43" s="73">
        <f t="shared" si="9"/>
        <v>0</v>
      </c>
      <c r="X43" s="181">
        <v>4.5934029447025619E-2</v>
      </c>
      <c r="Y43" s="73">
        <f t="shared" si="10"/>
        <v>16905782.136939354</v>
      </c>
      <c r="Z43" s="73">
        <v>1750000</v>
      </c>
      <c r="AA43" s="73">
        <f t="shared" si="11"/>
        <v>18655782.136939354</v>
      </c>
      <c r="AB43" s="74">
        <f t="shared" si="12"/>
        <v>642180358.99979198</v>
      </c>
    </row>
    <row r="44" spans="1:28" ht="14">
      <c r="A44" s="37" t="s">
        <v>65</v>
      </c>
      <c r="B44" s="181">
        <v>4.0000007882070787E-3</v>
      </c>
      <c r="C44" s="73">
        <f t="shared" si="14"/>
        <v>467620.3396043164</v>
      </c>
      <c r="D44" s="181">
        <v>4.9997117070213551E-3</v>
      </c>
      <c r="E44" s="73">
        <f t="shared" si="14"/>
        <v>122098.82687202259</v>
      </c>
      <c r="F44" s="101">
        <v>4.9594525361559144E-3</v>
      </c>
      <c r="G44" s="73">
        <f t="shared" si="1"/>
        <v>26395301.682920385</v>
      </c>
      <c r="H44" s="181">
        <v>0</v>
      </c>
      <c r="I44" s="73">
        <f t="shared" si="2"/>
        <v>0</v>
      </c>
      <c r="J44" s="181">
        <v>6.6862216586964091E-3</v>
      </c>
      <c r="K44" s="73">
        <f t="shared" si="3"/>
        <v>1899868.5827064607</v>
      </c>
      <c r="L44" s="181">
        <v>1.6648017346324252E-2</v>
      </c>
      <c r="M44" s="73">
        <f t="shared" si="4"/>
        <v>11439078.771772159</v>
      </c>
      <c r="N44" s="181">
        <v>1.3417128125593831E-2</v>
      </c>
      <c r="O44" s="73">
        <f t="shared" si="5"/>
        <v>153573.71214253324</v>
      </c>
      <c r="P44" s="181">
        <v>0</v>
      </c>
      <c r="Q44" s="73">
        <f t="shared" si="6"/>
        <v>0</v>
      </c>
      <c r="R44" s="181">
        <v>2.4074000000000002E-2</v>
      </c>
      <c r="S44" s="73">
        <f t="shared" si="7"/>
        <v>722220</v>
      </c>
      <c r="T44" s="181">
        <v>1.8145953140976613E-3</v>
      </c>
      <c r="U44" s="73">
        <f t="shared" si="8"/>
        <v>4682512.6379161756</v>
      </c>
      <c r="V44" s="181">
        <v>0</v>
      </c>
      <c r="W44" s="73">
        <f t="shared" si="9"/>
        <v>0</v>
      </c>
      <c r="X44" s="181">
        <v>4.6435670553755552E-3</v>
      </c>
      <c r="Y44" s="73">
        <f t="shared" si="10"/>
        <v>1709040.8553637455</v>
      </c>
      <c r="Z44" s="73">
        <v>1750000</v>
      </c>
      <c r="AA44" s="73">
        <f t="shared" si="11"/>
        <v>3459040.8553637452</v>
      </c>
      <c r="AB44" s="74">
        <f t="shared" si="12"/>
        <v>49341315.409297809</v>
      </c>
    </row>
    <row r="45" spans="1:28" ht="14">
      <c r="A45" s="37" t="s">
        <v>66</v>
      </c>
      <c r="B45" s="181">
        <v>7.3115768224293026E-2</v>
      </c>
      <c r="C45" s="73">
        <f t="shared" si="14"/>
        <v>8547603.407548219</v>
      </c>
      <c r="D45" s="181">
        <v>6.8629442085214168E-2</v>
      </c>
      <c r="E45" s="73">
        <f t="shared" si="14"/>
        <v>1676011.5099673036</v>
      </c>
      <c r="F45" s="101">
        <v>0.13310642202660605</v>
      </c>
      <c r="G45" s="73">
        <f t="shared" si="1"/>
        <v>708421774.32140923</v>
      </c>
      <c r="H45" s="181">
        <v>0.10522978928599463</v>
      </c>
      <c r="I45" s="73">
        <f t="shared" si="2"/>
        <v>2593626.2390548028</v>
      </c>
      <c r="J45" s="181">
        <v>6.0978062188037807E-2</v>
      </c>
      <c r="K45" s="73">
        <f t="shared" si="3"/>
        <v>17326722.100918319</v>
      </c>
      <c r="L45" s="181">
        <v>3.3164713848356689E-2</v>
      </c>
      <c r="M45" s="73">
        <f t="shared" si="4"/>
        <v>22787925.208307032</v>
      </c>
      <c r="N45" s="181">
        <v>3.185218340880825E-2</v>
      </c>
      <c r="O45" s="73">
        <f t="shared" si="5"/>
        <v>364583.09111652692</v>
      </c>
      <c r="P45" s="181">
        <v>0.01</v>
      </c>
      <c r="Q45" s="73">
        <f t="shared" si="6"/>
        <v>200000</v>
      </c>
      <c r="R45" s="181">
        <v>2.2762400000000001E-3</v>
      </c>
      <c r="S45" s="73">
        <f t="shared" si="7"/>
        <v>68287.199999999997</v>
      </c>
      <c r="T45" s="181">
        <v>0.2894780332818534</v>
      </c>
      <c r="U45" s="73">
        <f t="shared" si="8"/>
        <v>746989997.55514944</v>
      </c>
      <c r="V45" s="181">
        <v>0.11208081801001353</v>
      </c>
      <c r="W45" s="73">
        <f t="shared" si="9"/>
        <v>8572866.0211956017</v>
      </c>
      <c r="X45" s="181">
        <v>9.0795984923444178E-2</v>
      </c>
      <c r="Y45" s="73">
        <f t="shared" si="10"/>
        <v>33416992.989801209</v>
      </c>
      <c r="Z45" s="73">
        <v>1750000</v>
      </c>
      <c r="AA45" s="73">
        <f t="shared" si="11"/>
        <v>35166992.989801213</v>
      </c>
      <c r="AB45" s="74">
        <f t="shared" si="12"/>
        <v>1552716389.6444678</v>
      </c>
    </row>
    <row r="46" spans="1:28" ht="14">
      <c r="A46" s="37" t="s">
        <v>67</v>
      </c>
      <c r="B46" s="181">
        <v>1.9700860587946744E-2</v>
      </c>
      <c r="C46" s="73">
        <f t="shared" si="14"/>
        <v>2303130.3258223305</v>
      </c>
      <c r="D46" s="181">
        <v>2.2419809485698858E-2</v>
      </c>
      <c r="E46" s="73">
        <f t="shared" si="14"/>
        <v>547518.05650188914</v>
      </c>
      <c r="F46" s="101">
        <v>1.3828141295864916E-2</v>
      </c>
      <c r="G46" s="73">
        <f t="shared" si="1"/>
        <v>73596421.8948479</v>
      </c>
      <c r="H46" s="181">
        <v>1.5244345261458065E-2</v>
      </c>
      <c r="I46" s="73">
        <f t="shared" si="2"/>
        <v>375731.37925679225</v>
      </c>
      <c r="J46" s="181">
        <v>2.8043783184064711E-2</v>
      </c>
      <c r="K46" s="73">
        <f t="shared" si="3"/>
        <v>7968551.6471531447</v>
      </c>
      <c r="L46" s="181">
        <v>4.2778040334659893E-2</v>
      </c>
      <c r="M46" s="73">
        <f t="shared" si="4"/>
        <v>29393372.370450098</v>
      </c>
      <c r="N46" s="181">
        <v>3.9071094649946778E-2</v>
      </c>
      <c r="O46" s="73">
        <f t="shared" si="5"/>
        <v>447211.42905527924</v>
      </c>
      <c r="P46" s="181">
        <v>7.2499999999999995E-2</v>
      </c>
      <c r="Q46" s="73">
        <f t="shared" si="6"/>
        <v>1450000</v>
      </c>
      <c r="R46" s="181">
        <v>2.251676E-2</v>
      </c>
      <c r="S46" s="73">
        <f t="shared" si="7"/>
        <v>675502.8</v>
      </c>
      <c r="T46" s="181">
        <v>2.7376326272431062E-4</v>
      </c>
      <c r="U46" s="73">
        <f t="shared" si="8"/>
        <v>706438.47007904202</v>
      </c>
      <c r="V46" s="181">
        <v>5.9437333675046427E-3</v>
      </c>
      <c r="W46" s="73">
        <f t="shared" si="9"/>
        <v>454625.78459031816</v>
      </c>
      <c r="X46" s="181">
        <v>1.9061456754146635E-2</v>
      </c>
      <c r="Y46" s="73">
        <f t="shared" si="10"/>
        <v>7015470.6429562075</v>
      </c>
      <c r="Z46" s="73">
        <v>1750000</v>
      </c>
      <c r="AA46" s="73">
        <f t="shared" si="11"/>
        <v>8765470.6429562084</v>
      </c>
      <c r="AB46" s="74">
        <f t="shared" si="12"/>
        <v>126683974.80071297</v>
      </c>
    </row>
    <row r="47" spans="1:28" ht="14">
      <c r="A47" s="37" t="s">
        <v>68</v>
      </c>
      <c r="B47" s="181">
        <v>4.0000007882070787E-3</v>
      </c>
      <c r="C47" s="73">
        <f t="shared" si="14"/>
        <v>467620.3396043164</v>
      </c>
      <c r="D47" s="181">
        <v>4.9997117070213551E-3</v>
      </c>
      <c r="E47" s="73">
        <f t="shared" si="14"/>
        <v>122098.82687202259</v>
      </c>
      <c r="F47" s="101">
        <v>1.0738693249237555E-3</v>
      </c>
      <c r="G47" s="73">
        <f t="shared" si="1"/>
        <v>5715369.7092072489</v>
      </c>
      <c r="H47" s="181">
        <v>0</v>
      </c>
      <c r="I47" s="73">
        <f t="shared" si="2"/>
        <v>0</v>
      </c>
      <c r="J47" s="181">
        <v>2.2427657769866168E-3</v>
      </c>
      <c r="K47" s="73">
        <f t="shared" si="3"/>
        <v>637274.75031045615</v>
      </c>
      <c r="L47" s="181">
        <v>8.2667303465522625E-3</v>
      </c>
      <c r="M47" s="73">
        <f t="shared" si="4"/>
        <v>5680182.6699255342</v>
      </c>
      <c r="N47" s="181">
        <v>9.2137591558893468E-3</v>
      </c>
      <c r="O47" s="73">
        <f t="shared" si="5"/>
        <v>105461.55504455647</v>
      </c>
      <c r="P47" s="181">
        <v>0</v>
      </c>
      <c r="Q47" s="73">
        <f t="shared" si="6"/>
        <v>0</v>
      </c>
      <c r="R47" s="181">
        <v>2.9132999999999999E-2</v>
      </c>
      <c r="S47" s="73">
        <f t="shared" si="7"/>
        <v>873990</v>
      </c>
      <c r="T47" s="181">
        <v>0</v>
      </c>
      <c r="U47" s="73">
        <f t="shared" si="8"/>
        <v>0</v>
      </c>
      <c r="V47" s="181">
        <v>0</v>
      </c>
      <c r="W47" s="73">
        <f t="shared" si="9"/>
        <v>0</v>
      </c>
      <c r="X47" s="181">
        <v>1.2878967706320727E-3</v>
      </c>
      <c r="Y47" s="73">
        <f t="shared" si="10"/>
        <v>474003.75018881436</v>
      </c>
      <c r="Z47" s="73">
        <v>1750000</v>
      </c>
      <c r="AA47" s="73">
        <f t="shared" si="11"/>
        <v>2224003.7501888145</v>
      </c>
      <c r="AB47" s="74">
        <f t="shared" si="12"/>
        <v>15826001.601152949</v>
      </c>
    </row>
    <row r="48" spans="1:28" ht="14">
      <c r="A48" s="37" t="s">
        <v>124</v>
      </c>
      <c r="B48" s="181">
        <v>3.2451967997779205E-2</v>
      </c>
      <c r="C48" s="73">
        <f t="shared" si="14"/>
        <v>3793799.3264126088</v>
      </c>
      <c r="D48" s="181">
        <v>3.2282222807392222E-2</v>
      </c>
      <c r="E48" s="73">
        <f t="shared" si="14"/>
        <v>788369.763014219</v>
      </c>
      <c r="F48" s="101">
        <v>2.1122826875460993E-2</v>
      </c>
      <c r="G48" s="73">
        <f t="shared" si="1"/>
        <v>112420349.56665699</v>
      </c>
      <c r="H48" s="181">
        <v>2.4723313110470657E-2</v>
      </c>
      <c r="I48" s="73">
        <f t="shared" si="2"/>
        <v>609361.98803373112</v>
      </c>
      <c r="J48" s="181">
        <v>3.8481342521327157E-2</v>
      </c>
      <c r="K48" s="73">
        <f t="shared" si="3"/>
        <v>10934350.879849475</v>
      </c>
      <c r="L48" s="181">
        <v>3.6832709799323467E-2</v>
      </c>
      <c r="M48" s="73">
        <f t="shared" si="4"/>
        <v>25308255.031660706</v>
      </c>
      <c r="N48" s="181">
        <v>3.6767230906331182E-2</v>
      </c>
      <c r="O48" s="73">
        <f t="shared" si="5"/>
        <v>420841.18766936561</v>
      </c>
      <c r="P48" s="181">
        <v>4.82E-2</v>
      </c>
      <c r="Q48" s="73">
        <f t="shared" si="6"/>
        <v>964000</v>
      </c>
      <c r="R48" s="181">
        <v>0</v>
      </c>
      <c r="S48" s="73">
        <f t="shared" si="7"/>
        <v>0</v>
      </c>
      <c r="T48" s="181">
        <v>1.0717561910671814E-2</v>
      </c>
      <c r="U48" s="73">
        <f t="shared" si="8"/>
        <v>27656369.827740468</v>
      </c>
      <c r="V48" s="181">
        <v>4.0460422987932693E-3</v>
      </c>
      <c r="W48" s="73">
        <f t="shared" si="9"/>
        <v>309474.7090491972</v>
      </c>
      <c r="X48" s="181">
        <v>2.7195023636875332E-2</v>
      </c>
      <c r="Y48" s="73">
        <f t="shared" si="10"/>
        <v>10008987.897396427</v>
      </c>
      <c r="Z48" s="73">
        <v>1750000</v>
      </c>
      <c r="AA48" s="73">
        <f t="shared" si="11"/>
        <v>11758987.897396427</v>
      </c>
      <c r="AB48" s="74">
        <f t="shared" si="12"/>
        <v>194964160.17748317</v>
      </c>
    </row>
    <row r="49" spans="1:28" ht="14">
      <c r="A49" s="37" t="s">
        <v>69</v>
      </c>
      <c r="B49" s="181">
        <v>5.8878505751551744E-3</v>
      </c>
      <c r="C49" s="73">
        <f t="shared" si="14"/>
        <v>688319.53573880042</v>
      </c>
      <c r="D49" s="181">
        <v>7.3589128862422094E-3</v>
      </c>
      <c r="E49" s="73">
        <f t="shared" si="14"/>
        <v>179713.28810854291</v>
      </c>
      <c r="F49" s="101">
        <v>3.6513621882512497E-3</v>
      </c>
      <c r="G49" s="73">
        <f t="shared" si="1"/>
        <v>19433355.962148909</v>
      </c>
      <c r="H49" s="181">
        <v>0</v>
      </c>
      <c r="I49" s="73">
        <f t="shared" si="2"/>
        <v>0</v>
      </c>
      <c r="J49" s="181">
        <v>1.1242656138652208E-2</v>
      </c>
      <c r="K49" s="73">
        <f t="shared" si="3"/>
        <v>3194564.9238559147</v>
      </c>
      <c r="L49" s="181">
        <v>2.3808681391731416E-2</v>
      </c>
      <c r="M49" s="73">
        <f t="shared" si="4"/>
        <v>16359268.267591892</v>
      </c>
      <c r="N49" s="181">
        <v>2.16972449448826E-2</v>
      </c>
      <c r="O49" s="73">
        <f t="shared" si="5"/>
        <v>248348.70907249072</v>
      </c>
      <c r="P49" s="181">
        <v>0</v>
      </c>
      <c r="Q49" s="73">
        <f t="shared" si="6"/>
        <v>0</v>
      </c>
      <c r="R49" s="181">
        <v>0.31196952</v>
      </c>
      <c r="S49" s="73">
        <f t="shared" si="7"/>
        <v>9359085.5999999996</v>
      </c>
      <c r="T49" s="181">
        <v>0</v>
      </c>
      <c r="U49" s="73">
        <f t="shared" si="8"/>
        <v>0</v>
      </c>
      <c r="V49" s="181">
        <v>0</v>
      </c>
      <c r="W49" s="73">
        <f t="shared" si="9"/>
        <v>0</v>
      </c>
      <c r="X49" s="181">
        <v>5.0724698866904038E-3</v>
      </c>
      <c r="Y49" s="73">
        <f t="shared" si="10"/>
        <v>1866896.3257288607</v>
      </c>
      <c r="Z49" s="73">
        <v>1750000</v>
      </c>
      <c r="AA49" s="73">
        <f t="shared" si="11"/>
        <v>3616896.3257288607</v>
      </c>
      <c r="AB49" s="74">
        <f t="shared" si="12"/>
        <v>53079552.612245418</v>
      </c>
    </row>
    <row r="50" spans="1:28" ht="14">
      <c r="A50" s="37" t="s">
        <v>70</v>
      </c>
      <c r="B50" s="181">
        <v>1.0430034615709027E-2</v>
      </c>
      <c r="C50" s="73">
        <f t="shared" si="14"/>
        <v>1219323.8420007369</v>
      </c>
      <c r="D50" s="181">
        <v>1.0254456854500563E-2</v>
      </c>
      <c r="E50" s="73">
        <f t="shared" si="14"/>
        <v>250425.86963283515</v>
      </c>
      <c r="F50" s="101">
        <v>1.0809444816009107E-2</v>
      </c>
      <c r="G50" s="73">
        <f t="shared" si="1"/>
        <v>57530252.555777341</v>
      </c>
      <c r="H50" s="181">
        <v>3.2379666490978211E-2</v>
      </c>
      <c r="I50" s="73">
        <f t="shared" si="2"/>
        <v>798070.13957426883</v>
      </c>
      <c r="J50" s="181">
        <v>1.279385912845867E-2</v>
      </c>
      <c r="K50" s="73">
        <f t="shared" si="3"/>
        <v>3635334.3114367942</v>
      </c>
      <c r="L50" s="181">
        <v>1.9314675082438278E-2</v>
      </c>
      <c r="M50" s="73">
        <f t="shared" si="4"/>
        <v>13271375.511149298</v>
      </c>
      <c r="N50" s="181">
        <v>1.713266661912094E-2</v>
      </c>
      <c r="O50" s="73">
        <f t="shared" si="5"/>
        <v>196102.1156666055</v>
      </c>
      <c r="P50" s="181">
        <v>0</v>
      </c>
      <c r="Q50" s="73">
        <f t="shared" si="6"/>
        <v>0</v>
      </c>
      <c r="R50" s="181">
        <v>3.0270160000000001E-2</v>
      </c>
      <c r="S50" s="73">
        <f t="shared" si="7"/>
        <v>908104.8</v>
      </c>
      <c r="T50" s="181">
        <v>8.4984352992122439E-3</v>
      </c>
      <c r="U50" s="73">
        <f t="shared" si="8"/>
        <v>21929975.450676467</v>
      </c>
      <c r="V50" s="181">
        <v>1.5550890752874839E-3</v>
      </c>
      <c r="W50" s="73">
        <f t="shared" si="9"/>
        <v>118946.04741619114</v>
      </c>
      <c r="X50" s="181">
        <v>1.296888142561676E-2</v>
      </c>
      <c r="Y50" s="73">
        <f t="shared" si="10"/>
        <v>4773129.7815735936</v>
      </c>
      <c r="Z50" s="73">
        <v>1750000</v>
      </c>
      <c r="AA50" s="73">
        <f t="shared" si="11"/>
        <v>6523129.7815735936</v>
      </c>
      <c r="AB50" s="74">
        <f t="shared" si="12"/>
        <v>106381040.42490412</v>
      </c>
    </row>
    <row r="51" spans="1:28" ht="14">
      <c r="A51" s="37" t="s">
        <v>71</v>
      </c>
      <c r="B51" s="181">
        <v>3.8979420466804568E-2</v>
      </c>
      <c r="C51" s="73">
        <f t="shared" si="14"/>
        <v>4556891.561123102</v>
      </c>
      <c r="D51" s="181">
        <v>3.8464088493766736E-2</v>
      </c>
      <c r="E51" s="73">
        <f t="shared" si="14"/>
        <v>939338.17727833265</v>
      </c>
      <c r="F51" s="101">
        <v>3.7247379833466134E-2</v>
      </c>
      <c r="G51" s="73">
        <f t="shared" si="1"/>
        <v>198238781.48548836</v>
      </c>
      <c r="H51" s="181">
        <v>6.4499882251354113E-2</v>
      </c>
      <c r="I51" s="73">
        <f t="shared" si="2"/>
        <v>1589745.5288862975</v>
      </c>
      <c r="J51" s="181">
        <v>4.6055740334290184E-2</v>
      </c>
      <c r="K51" s="73">
        <f t="shared" si="3"/>
        <v>13086591.887153234</v>
      </c>
      <c r="L51" s="181">
        <v>3.4772701679614118E-2</v>
      </c>
      <c r="M51" s="73">
        <f t="shared" si="4"/>
        <v>23892795.481034495</v>
      </c>
      <c r="N51" s="181">
        <v>3.4646232932174885E-2</v>
      </c>
      <c r="O51" s="73">
        <f t="shared" si="5"/>
        <v>396564.04510287027</v>
      </c>
      <c r="P51" s="181">
        <v>0.2394</v>
      </c>
      <c r="Q51" s="73">
        <f t="shared" si="6"/>
        <v>4788000</v>
      </c>
      <c r="R51" s="181">
        <v>0</v>
      </c>
      <c r="S51" s="73">
        <f t="shared" si="7"/>
        <v>0</v>
      </c>
      <c r="T51" s="181">
        <v>7.1353615507044804E-2</v>
      </c>
      <c r="U51" s="73">
        <f t="shared" si="8"/>
        <v>184126016.29520515</v>
      </c>
      <c r="V51" s="181">
        <v>4.1585074273887308E-3</v>
      </c>
      <c r="W51" s="73">
        <f t="shared" si="9"/>
        <v>318076.97031587787</v>
      </c>
      <c r="X51" s="181">
        <v>3.7109496836069823E-2</v>
      </c>
      <c r="Y51" s="73">
        <f t="shared" si="10"/>
        <v>13657958.517346242</v>
      </c>
      <c r="Z51" s="73">
        <v>1750000</v>
      </c>
      <c r="AA51" s="73">
        <f t="shared" si="11"/>
        <v>15407958.517346242</v>
      </c>
      <c r="AB51" s="74">
        <f t="shared" si="12"/>
        <v>447340759.94893396</v>
      </c>
    </row>
    <row r="52" spans="1:28" ht="14">
      <c r="A52" s="37" t="s">
        <v>72</v>
      </c>
      <c r="B52" s="181">
        <v>1.4794637478182498E-2</v>
      </c>
      <c r="C52" s="73">
        <f t="shared" si="14"/>
        <v>1729568.0096531748</v>
      </c>
      <c r="D52" s="181">
        <v>1.4481429894764116E-2</v>
      </c>
      <c r="E52" s="73">
        <f t="shared" si="14"/>
        <v>353653.51148087386</v>
      </c>
      <c r="F52" s="101">
        <v>9.846855555994273E-3</v>
      </c>
      <c r="G52" s="73">
        <f t="shared" si="1"/>
        <v>52407139.928002432</v>
      </c>
      <c r="H52" s="181">
        <v>1.3559036928218183E-2</v>
      </c>
      <c r="I52" s="73">
        <f t="shared" si="2"/>
        <v>334193.14237874473</v>
      </c>
      <c r="J52" s="181">
        <v>1.9780960878317249E-2</v>
      </c>
      <c r="K52" s="73">
        <f t="shared" si="3"/>
        <v>5620697.0134740686</v>
      </c>
      <c r="L52" s="181">
        <v>3.1230813131054675E-3</v>
      </c>
      <c r="M52" s="73">
        <f t="shared" si="4"/>
        <v>2145911.5766209187</v>
      </c>
      <c r="N52" s="181">
        <v>8.7718099933269539E-3</v>
      </c>
      <c r="O52" s="73">
        <f t="shared" si="5"/>
        <v>100402.96330736334</v>
      </c>
      <c r="P52" s="181">
        <v>0</v>
      </c>
      <c r="Q52" s="73">
        <f t="shared" si="6"/>
        <v>0</v>
      </c>
      <c r="R52" s="181">
        <v>0</v>
      </c>
      <c r="S52" s="73">
        <f t="shared" si="7"/>
        <v>0</v>
      </c>
      <c r="T52" s="181">
        <v>3.0577604209948506E-3</v>
      </c>
      <c r="U52" s="73">
        <f t="shared" si="8"/>
        <v>7890465.551074205</v>
      </c>
      <c r="V52" s="181">
        <v>0</v>
      </c>
      <c r="W52" s="73">
        <f t="shared" si="9"/>
        <v>0</v>
      </c>
      <c r="X52" s="181">
        <v>1.2562863940127837E-2</v>
      </c>
      <c r="Y52" s="73">
        <f t="shared" si="10"/>
        <v>4623697.1444612807</v>
      </c>
      <c r="Z52" s="73">
        <v>500000</v>
      </c>
      <c r="AA52" s="73">
        <f t="shared" si="11"/>
        <v>5123697.1444612807</v>
      </c>
      <c r="AB52" s="74">
        <f t="shared" si="12"/>
        <v>75705728.840453058</v>
      </c>
    </row>
    <row r="53" spans="1:28" ht="14">
      <c r="A53" s="37" t="s">
        <v>125</v>
      </c>
      <c r="B53" s="181">
        <v>4.7936502488168005E-3</v>
      </c>
      <c r="C53" s="73">
        <f t="shared" si="14"/>
        <v>560401.97889580531</v>
      </c>
      <c r="D53" s="181">
        <v>4.9997117070213551E-3</v>
      </c>
      <c r="E53" s="73">
        <f t="shared" si="14"/>
        <v>122098.82687202259</v>
      </c>
      <c r="F53" s="101">
        <v>5.5533765762231834E-3</v>
      </c>
      <c r="G53" s="73">
        <f t="shared" si="1"/>
        <v>29556296.591133699</v>
      </c>
      <c r="H53" s="181">
        <v>0</v>
      </c>
      <c r="I53" s="73">
        <f t="shared" si="2"/>
        <v>0</v>
      </c>
      <c r="J53" s="181">
        <v>3.7471662327974663E-3</v>
      </c>
      <c r="K53" s="73">
        <f t="shared" si="3"/>
        <v>1064745.3469645251</v>
      </c>
      <c r="L53" s="181">
        <v>1.2703851277863928E-3</v>
      </c>
      <c r="M53" s="73">
        <f t="shared" si="4"/>
        <v>872898.87107457547</v>
      </c>
      <c r="N53" s="181">
        <v>6.8931256508292602E-3</v>
      </c>
      <c r="O53" s="73">
        <f t="shared" si="5"/>
        <v>78899.365389783226</v>
      </c>
      <c r="P53" s="181">
        <v>0</v>
      </c>
      <c r="Q53" s="73">
        <f t="shared" si="6"/>
        <v>0</v>
      </c>
      <c r="R53" s="181">
        <v>0</v>
      </c>
      <c r="S53" s="73">
        <f t="shared" si="7"/>
        <v>0</v>
      </c>
      <c r="T53" s="181">
        <v>1.771381067032255E-3</v>
      </c>
      <c r="U53" s="73">
        <f t="shared" si="8"/>
        <v>4570999.4776816471</v>
      </c>
      <c r="V53" s="181">
        <v>0</v>
      </c>
      <c r="W53" s="73">
        <f t="shared" si="9"/>
        <v>0</v>
      </c>
      <c r="X53" s="181">
        <v>3.5305794028591148E-3</v>
      </c>
      <c r="Y53" s="73">
        <f t="shared" si="10"/>
        <v>1299411.5021138557</v>
      </c>
      <c r="Z53" s="73">
        <v>1750000</v>
      </c>
      <c r="AA53" s="73">
        <f t="shared" si="11"/>
        <v>3049411.5021138554</v>
      </c>
      <c r="AB53" s="74">
        <f t="shared" si="12"/>
        <v>39875751.960125908</v>
      </c>
    </row>
    <row r="54" spans="1:28" ht="14">
      <c r="A54" s="37" t="s">
        <v>73</v>
      </c>
      <c r="B54" s="181">
        <v>8.9473889509826127E-3</v>
      </c>
      <c r="C54" s="73">
        <f t="shared" si="14"/>
        <v>1045995.058842422</v>
      </c>
      <c r="D54" s="181">
        <v>1.1054169792386718E-2</v>
      </c>
      <c r="E54" s="73">
        <f t="shared" si="14"/>
        <v>269955.79801113578</v>
      </c>
      <c r="F54" s="101">
        <v>5.0877722405819736E-3</v>
      </c>
      <c r="G54" s="73">
        <f t="shared" si="1"/>
        <v>27078247.489034358</v>
      </c>
      <c r="H54" s="181">
        <v>0</v>
      </c>
      <c r="I54" s="73">
        <f t="shared" si="2"/>
        <v>0</v>
      </c>
      <c r="J54" s="181">
        <v>1.5477248429854608E-2</v>
      </c>
      <c r="K54" s="73">
        <f t="shared" si="3"/>
        <v>4397810.8324270863</v>
      </c>
      <c r="L54" s="181">
        <v>2.0694859436017555E-2</v>
      </c>
      <c r="M54" s="73">
        <f t="shared" si="4"/>
        <v>14219718.921161821</v>
      </c>
      <c r="N54" s="181">
        <v>2.1785521722823543E-2</v>
      </c>
      <c r="O54" s="73">
        <f t="shared" si="5"/>
        <v>249359.13338665615</v>
      </c>
      <c r="P54" s="181">
        <v>0.01</v>
      </c>
      <c r="Q54" s="73">
        <f t="shared" si="6"/>
        <v>200000</v>
      </c>
      <c r="R54" s="181">
        <v>3.9773200000000003E-3</v>
      </c>
      <c r="S54" s="73">
        <f t="shared" si="7"/>
        <v>119319.6</v>
      </c>
      <c r="T54" s="181">
        <v>0</v>
      </c>
      <c r="U54" s="73">
        <f t="shared" si="8"/>
        <v>0</v>
      </c>
      <c r="V54" s="181">
        <v>0</v>
      </c>
      <c r="W54" s="73">
        <f t="shared" si="9"/>
        <v>0</v>
      </c>
      <c r="X54" s="181">
        <v>6.932355101314857E-3</v>
      </c>
      <c r="Y54" s="73">
        <f t="shared" si="10"/>
        <v>2551417.4665187793</v>
      </c>
      <c r="Z54" s="73">
        <v>1750000</v>
      </c>
      <c r="AA54" s="73">
        <f t="shared" si="11"/>
        <v>4301417.4665187793</v>
      </c>
      <c r="AB54" s="74">
        <f t="shared" si="12"/>
        <v>51881824.299382262</v>
      </c>
    </row>
    <row r="55" spans="1:28" ht="14">
      <c r="A55" s="37" t="s">
        <v>74</v>
      </c>
      <c r="B55" s="181">
        <v>4.0000007882070787E-3</v>
      </c>
      <c r="C55" s="73">
        <f t="shared" si="14"/>
        <v>467620.3396043164</v>
      </c>
      <c r="D55" s="181">
        <v>4.9997117070213551E-3</v>
      </c>
      <c r="E55" s="73">
        <f t="shared" si="14"/>
        <v>122098.82687202259</v>
      </c>
      <c r="F55" s="101">
        <v>8.2619173635358357E-4</v>
      </c>
      <c r="G55" s="73">
        <f t="shared" si="1"/>
        <v>4397174.8837204874</v>
      </c>
      <c r="H55" s="181">
        <v>0</v>
      </c>
      <c r="I55" s="73">
        <f t="shared" si="2"/>
        <v>0</v>
      </c>
      <c r="J55" s="181">
        <v>2.5060678999821845E-3</v>
      </c>
      <c r="K55" s="73">
        <f t="shared" si="3"/>
        <v>712091.20970625815</v>
      </c>
      <c r="L55" s="181">
        <v>1.0332246215349243E-2</v>
      </c>
      <c r="M55" s="73">
        <f t="shared" si="4"/>
        <v>7099426.6697361702</v>
      </c>
      <c r="N55" s="181">
        <v>1.0493065844960918E-2</v>
      </c>
      <c r="O55" s="73">
        <f t="shared" si="5"/>
        <v>120104.61989199746</v>
      </c>
      <c r="P55" s="181">
        <v>0</v>
      </c>
      <c r="Q55" s="73">
        <f t="shared" si="6"/>
        <v>0</v>
      </c>
      <c r="R55" s="181">
        <v>9.0322479999999997E-2</v>
      </c>
      <c r="S55" s="73">
        <f t="shared" si="7"/>
        <v>2709674.4</v>
      </c>
      <c r="T55" s="181">
        <v>0</v>
      </c>
      <c r="U55" s="73">
        <f t="shared" si="8"/>
        <v>0</v>
      </c>
      <c r="V55" s="181">
        <v>0</v>
      </c>
      <c r="W55" s="73">
        <f t="shared" si="9"/>
        <v>0</v>
      </c>
      <c r="X55" s="181">
        <v>1.130513386696108E-3</v>
      </c>
      <c r="Y55" s="73">
        <f t="shared" si="10"/>
        <v>416079.60913639056</v>
      </c>
      <c r="Z55" s="73">
        <v>1750000</v>
      </c>
      <c r="AA55" s="73">
        <f t="shared" si="11"/>
        <v>2166079.6091363905</v>
      </c>
      <c r="AB55" s="74">
        <f t="shared" si="12"/>
        <v>17794270.558667641</v>
      </c>
    </row>
    <row r="56" spans="1:28" ht="14">
      <c r="A56" s="37" t="s">
        <v>75</v>
      </c>
      <c r="B56" s="181">
        <v>1.3160299484534151E-2</v>
      </c>
      <c r="C56" s="73">
        <f t="shared" si="14"/>
        <v>1538505.6253978363</v>
      </c>
      <c r="D56" s="181">
        <v>1.4784519439610825E-2</v>
      </c>
      <c r="E56" s="73">
        <f t="shared" si="14"/>
        <v>361055.31383099488</v>
      </c>
      <c r="F56" s="101">
        <v>1.019112182138223E-2</v>
      </c>
      <c r="G56" s="73">
        <f t="shared" si="1"/>
        <v>54239401.022935875</v>
      </c>
      <c r="H56" s="181">
        <v>1.3918697363551748E-2</v>
      </c>
      <c r="I56" s="73">
        <f t="shared" si="2"/>
        <v>343057.78753826098</v>
      </c>
      <c r="J56" s="181">
        <v>2.0853010788757006E-2</v>
      </c>
      <c r="K56" s="73">
        <f t="shared" si="3"/>
        <v>5925316.5800851565</v>
      </c>
      <c r="L56" s="181">
        <v>2.9848702844074523E-2</v>
      </c>
      <c r="M56" s="73">
        <f t="shared" si="4"/>
        <v>20509449.021205865</v>
      </c>
      <c r="N56" s="181">
        <v>2.8294921315431393E-2</v>
      </c>
      <c r="O56" s="73">
        <f t="shared" si="5"/>
        <v>323866.33417494973</v>
      </c>
      <c r="P56" s="181">
        <v>5.5500000000000001E-2</v>
      </c>
      <c r="Q56" s="73">
        <f t="shared" si="6"/>
        <v>1110000</v>
      </c>
      <c r="R56" s="181">
        <v>0</v>
      </c>
      <c r="S56" s="73">
        <f t="shared" si="7"/>
        <v>0</v>
      </c>
      <c r="T56" s="181">
        <v>1.7721107705689037E-3</v>
      </c>
      <c r="U56" s="73">
        <f t="shared" si="8"/>
        <v>4572882.4573222008</v>
      </c>
      <c r="V56" s="181">
        <v>0</v>
      </c>
      <c r="W56" s="73">
        <f t="shared" si="9"/>
        <v>0</v>
      </c>
      <c r="X56" s="181">
        <v>1.1199918138255164E-2</v>
      </c>
      <c r="Y56" s="73">
        <f t="shared" si="10"/>
        <v>4122071.9862005888</v>
      </c>
      <c r="Z56" s="73">
        <v>1750000</v>
      </c>
      <c r="AA56" s="73">
        <f t="shared" si="11"/>
        <v>5872071.9862005888</v>
      </c>
      <c r="AB56" s="74">
        <f t="shared" si="12"/>
        <v>94795606.128691718</v>
      </c>
    </row>
    <row r="57" spans="1:28" ht="14">
      <c r="A57" s="37" t="s">
        <v>76</v>
      </c>
      <c r="B57" s="181">
        <v>8.464520157969084E-2</v>
      </c>
      <c r="C57" s="73">
        <f t="shared" si="14"/>
        <v>9895452.5272262804</v>
      </c>
      <c r="D57" s="181">
        <v>8.1182167946613287E-2</v>
      </c>
      <c r="E57" s="73">
        <f t="shared" si="14"/>
        <v>1982563.8056867786</v>
      </c>
      <c r="F57" s="101">
        <v>5.890981506684289E-2</v>
      </c>
      <c r="G57" s="73">
        <f t="shared" si="1"/>
        <v>313531045.90443504</v>
      </c>
      <c r="H57" s="181">
        <v>4.1053682168369347E-2</v>
      </c>
      <c r="I57" s="73">
        <f t="shared" si="2"/>
        <v>1011860.8808795789</v>
      </c>
      <c r="J57" s="181">
        <v>7.0103185255398048E-2</v>
      </c>
      <c r="K57" s="73">
        <f t="shared" si="3"/>
        <v>19919596.748808436</v>
      </c>
      <c r="L57" s="181">
        <v>6.6199436086053401E-2</v>
      </c>
      <c r="M57" s="73">
        <f t="shared" si="4"/>
        <v>45486531.415854059</v>
      </c>
      <c r="N57" s="181">
        <v>5.3581177845863845E-2</v>
      </c>
      <c r="O57" s="73">
        <f t="shared" si="5"/>
        <v>613295.20786657766</v>
      </c>
      <c r="P57" s="181">
        <v>0</v>
      </c>
      <c r="Q57" s="73">
        <f t="shared" si="6"/>
        <v>0</v>
      </c>
      <c r="R57" s="181">
        <v>0</v>
      </c>
      <c r="S57" s="73">
        <f t="shared" si="7"/>
        <v>0</v>
      </c>
      <c r="T57" s="181">
        <v>1.1054676648710803E-2</v>
      </c>
      <c r="U57" s="73">
        <f t="shared" si="8"/>
        <v>28526285.014356237</v>
      </c>
      <c r="V57" s="181">
        <v>3.6757548140581596E-2</v>
      </c>
      <c r="W57" s="73">
        <f t="shared" si="9"/>
        <v>2811520.6604639543</v>
      </c>
      <c r="X57" s="181">
        <v>7.683320170728411E-2</v>
      </c>
      <c r="Y57" s="73">
        <f t="shared" si="10"/>
        <v>28278062.791004974</v>
      </c>
      <c r="Z57" s="73">
        <v>1750000</v>
      </c>
      <c r="AA57" s="73">
        <f t="shared" si="11"/>
        <v>30028062.791004974</v>
      </c>
      <c r="AB57" s="74">
        <f t="shared" si="12"/>
        <v>453806214.95658183</v>
      </c>
    </row>
    <row r="58" spans="1:28" ht="14">
      <c r="A58" s="37" t="s">
        <v>77</v>
      </c>
      <c r="B58" s="181">
        <v>9.2155201089031934E-3</v>
      </c>
      <c r="C58" s="73">
        <f t="shared" si="14"/>
        <v>1077340.9484469891</v>
      </c>
      <c r="D58" s="181">
        <v>9.6119628884660593E-3</v>
      </c>
      <c r="E58" s="73">
        <f t="shared" si="14"/>
        <v>234735.41303810835</v>
      </c>
      <c r="F58" s="101">
        <v>1.0114117936147997E-2</v>
      </c>
      <c r="G58" s="73">
        <f t="shared" si="1"/>
        <v>53829569.339560196</v>
      </c>
      <c r="H58" s="181">
        <v>2.106359548293766E-2</v>
      </c>
      <c r="I58" s="73">
        <f t="shared" si="2"/>
        <v>519159.9670023701</v>
      </c>
      <c r="J58" s="181">
        <v>6.5972929600770268E-3</v>
      </c>
      <c r="K58" s="73">
        <f t="shared" si="3"/>
        <v>1874599.776311419</v>
      </c>
      <c r="L58" s="181">
        <v>1.0106569188067519E-2</v>
      </c>
      <c r="M58" s="73">
        <f t="shared" si="4"/>
        <v>6944360.9199623689</v>
      </c>
      <c r="N58" s="181">
        <v>1.010905715031067E-2</v>
      </c>
      <c r="O58" s="73">
        <f t="shared" si="5"/>
        <v>115709.22020732485</v>
      </c>
      <c r="P58" s="181">
        <v>0</v>
      </c>
      <c r="Q58" s="73">
        <f t="shared" si="6"/>
        <v>0</v>
      </c>
      <c r="R58" s="181">
        <v>3.6342000000000002E-3</v>
      </c>
      <c r="S58" s="73">
        <f t="shared" si="7"/>
        <v>109026</v>
      </c>
      <c r="T58" s="181">
        <v>3.2487005688795921E-3</v>
      </c>
      <c r="U58" s="73">
        <f t="shared" si="8"/>
        <v>8383181.2814686047</v>
      </c>
      <c r="V58" s="181">
        <v>3.8061049303757073E-3</v>
      </c>
      <c r="W58" s="73">
        <f t="shared" si="9"/>
        <v>291122.31878792844</v>
      </c>
      <c r="X58" s="181">
        <v>9.3430598603610297E-3</v>
      </c>
      <c r="Y58" s="73">
        <f t="shared" si="10"/>
        <v>3438664.8938301336</v>
      </c>
      <c r="Z58" s="73">
        <v>1750000</v>
      </c>
      <c r="AA58" s="73">
        <f t="shared" si="11"/>
        <v>5188664.8938301336</v>
      </c>
      <c r="AB58" s="74">
        <f t="shared" si="12"/>
        <v>78567470.078615442</v>
      </c>
    </row>
    <row r="59" spans="1:28" ht="14">
      <c r="A59" s="37" t="s">
        <v>126</v>
      </c>
      <c r="B59" s="181">
        <v>4.0000007882070787E-3</v>
      </c>
      <c r="C59" s="73">
        <f t="shared" ref="C59:E66" si="15">B59*C$67</f>
        <v>467620.3396043164</v>
      </c>
      <c r="D59" s="181">
        <v>4.9997117070213551E-3</v>
      </c>
      <c r="E59" s="73">
        <f t="shared" si="15"/>
        <v>122098.82687202259</v>
      </c>
      <c r="F59" s="101">
        <v>5.7166794257829362E-4</v>
      </c>
      <c r="G59" s="73">
        <f t="shared" si="1"/>
        <v>3042543.042160912</v>
      </c>
      <c r="H59" s="181">
        <v>0</v>
      </c>
      <c r="I59" s="73">
        <f t="shared" si="2"/>
        <v>0</v>
      </c>
      <c r="J59" s="181">
        <v>1.7614259900149726E-3</v>
      </c>
      <c r="K59" s="73">
        <f t="shared" si="3"/>
        <v>500503.58334134595</v>
      </c>
      <c r="L59" s="181">
        <v>5.6046311379420672E-3</v>
      </c>
      <c r="M59" s="73">
        <f t="shared" si="4"/>
        <v>3851018.1566936988</v>
      </c>
      <c r="N59" s="181">
        <v>1.0082677750285627E-2</v>
      </c>
      <c r="O59" s="73">
        <f t="shared" si="5"/>
        <v>115407.27911024232</v>
      </c>
      <c r="P59" s="181">
        <v>0</v>
      </c>
      <c r="Q59" s="73">
        <f t="shared" si="6"/>
        <v>0</v>
      </c>
      <c r="R59" s="181">
        <v>0</v>
      </c>
      <c r="S59" s="73">
        <f t="shared" si="7"/>
        <v>0</v>
      </c>
      <c r="T59" s="181">
        <v>0</v>
      </c>
      <c r="U59" s="73">
        <f t="shared" si="8"/>
        <v>0</v>
      </c>
      <c r="V59" s="181">
        <v>0</v>
      </c>
      <c r="W59" s="73">
        <f t="shared" si="9"/>
        <v>0</v>
      </c>
      <c r="X59" s="181">
        <v>4.4517802925752133E-4</v>
      </c>
      <c r="Y59" s="73">
        <f t="shared" si="10"/>
        <v>163845.4728527416</v>
      </c>
      <c r="Z59" s="73">
        <v>1750000</v>
      </c>
      <c r="AA59" s="73">
        <f t="shared" si="11"/>
        <v>1913845.4728527416</v>
      </c>
      <c r="AB59" s="74">
        <f t="shared" si="12"/>
        <v>10013036.70063528</v>
      </c>
    </row>
    <row r="60" spans="1:28" ht="14">
      <c r="A60" s="37" t="s">
        <v>127</v>
      </c>
      <c r="B60" s="181">
        <v>0</v>
      </c>
      <c r="C60" s="73">
        <f t="shared" si="15"/>
        <v>0</v>
      </c>
      <c r="D60" s="181">
        <v>0</v>
      </c>
      <c r="E60" s="73">
        <f t="shared" si="15"/>
        <v>0</v>
      </c>
      <c r="F60" s="101">
        <v>2.2297633979108299E-4</v>
      </c>
      <c r="G60" s="73">
        <f t="shared" si="1"/>
        <v>1186729.3242614414</v>
      </c>
      <c r="H60" s="181">
        <v>0</v>
      </c>
      <c r="I60" s="73">
        <f t="shared" si="2"/>
        <v>0</v>
      </c>
      <c r="J60" s="181">
        <v>6.112177898163994E-4</v>
      </c>
      <c r="K60" s="73">
        <f t="shared" si="3"/>
        <v>173675.58769953495</v>
      </c>
      <c r="L60" s="181">
        <v>0</v>
      </c>
      <c r="M60" s="73">
        <f t="shared" si="4"/>
        <v>0</v>
      </c>
      <c r="N60" s="181">
        <v>0</v>
      </c>
      <c r="O60" s="73">
        <f t="shared" si="5"/>
        <v>0</v>
      </c>
      <c r="P60" s="181">
        <v>0</v>
      </c>
      <c r="Q60" s="73">
        <f t="shared" si="6"/>
        <v>0</v>
      </c>
      <c r="R60" s="181">
        <v>0</v>
      </c>
      <c r="S60" s="73">
        <f t="shared" si="7"/>
        <v>0</v>
      </c>
      <c r="T60" s="181">
        <v>0</v>
      </c>
      <c r="U60" s="73">
        <f t="shared" si="8"/>
        <v>0</v>
      </c>
      <c r="V60" s="181">
        <v>0</v>
      </c>
      <c r="W60" s="73">
        <f t="shared" si="9"/>
        <v>0</v>
      </c>
      <c r="X60" s="181">
        <v>3.2233232128070656E-4</v>
      </c>
      <c r="Y60" s="73">
        <f t="shared" si="10"/>
        <v>118632.74493586639</v>
      </c>
      <c r="Z60" s="73">
        <v>500000</v>
      </c>
      <c r="AA60" s="73">
        <f t="shared" si="11"/>
        <v>618632.74493586645</v>
      </c>
      <c r="AB60" s="74">
        <f t="shared" si="12"/>
        <v>1979037.6568968426</v>
      </c>
    </row>
    <row r="61" spans="1:28" ht="14">
      <c r="A61" s="37" t="s">
        <v>78</v>
      </c>
      <c r="B61" s="181">
        <v>2.463070175981024E-2</v>
      </c>
      <c r="C61" s="73">
        <f t="shared" si="15"/>
        <v>2879453.7130023246</v>
      </c>
      <c r="D61" s="181">
        <v>2.3924694469458208E-2</v>
      </c>
      <c r="E61" s="73">
        <f t="shared" si="15"/>
        <v>584269.11373510864</v>
      </c>
      <c r="F61" s="101">
        <v>2.5874921137222798E-2</v>
      </c>
      <c r="G61" s="73">
        <f t="shared" si="1"/>
        <v>137712044.71857816</v>
      </c>
      <c r="H61" s="181">
        <v>1.1496484361858411E-2</v>
      </c>
      <c r="I61" s="73">
        <f t="shared" si="2"/>
        <v>283356.86786144407</v>
      </c>
      <c r="J61" s="181">
        <v>2.2886042953027517E-2</v>
      </c>
      <c r="K61" s="73">
        <f t="shared" si="3"/>
        <v>6502996.192531975</v>
      </c>
      <c r="L61" s="181">
        <v>2.4224416189350242E-2</v>
      </c>
      <c r="M61" s="73">
        <f t="shared" si="4"/>
        <v>16644925.292041022</v>
      </c>
      <c r="N61" s="181">
        <v>2.4631576349096688E-2</v>
      </c>
      <c r="O61" s="73">
        <f t="shared" si="5"/>
        <v>281935.34267867648</v>
      </c>
      <c r="P61" s="181">
        <v>5.7500000000000002E-2</v>
      </c>
      <c r="Q61" s="73">
        <f t="shared" si="6"/>
        <v>1150000</v>
      </c>
      <c r="R61" s="181">
        <v>0</v>
      </c>
      <c r="S61" s="73">
        <f t="shared" si="7"/>
        <v>0</v>
      </c>
      <c r="T61" s="181">
        <v>1.5487923752844303E-4</v>
      </c>
      <c r="U61" s="73">
        <f t="shared" si="8"/>
        <v>399661.55618471093</v>
      </c>
      <c r="V61" s="181">
        <v>2.2905418088720417E-2</v>
      </c>
      <c r="W61" s="73">
        <f t="shared" si="9"/>
        <v>1751995.4254485071</v>
      </c>
      <c r="X61" s="181">
        <v>2.5820033804871172E-2</v>
      </c>
      <c r="Y61" s="73">
        <f t="shared" si="10"/>
        <v>9502929.9960930534</v>
      </c>
      <c r="Z61" s="73">
        <v>1750000</v>
      </c>
      <c r="AA61" s="73">
        <f t="shared" si="11"/>
        <v>11252929.996093053</v>
      </c>
      <c r="AB61" s="74">
        <f t="shared" si="12"/>
        <v>179443568.218155</v>
      </c>
    </row>
    <row r="62" spans="1:28" ht="14">
      <c r="A62" s="37" t="s">
        <v>79</v>
      </c>
      <c r="B62" s="181">
        <v>2.2387623932778173E-2</v>
      </c>
      <c r="C62" s="73">
        <f t="shared" si="15"/>
        <v>2617226.560865737</v>
      </c>
      <c r="D62" s="181">
        <v>2.1600105906749944E-2</v>
      </c>
      <c r="E62" s="73">
        <f t="shared" si="15"/>
        <v>527499.93321051891</v>
      </c>
      <c r="F62" s="101">
        <v>2.9466692095337716E-2</v>
      </c>
      <c r="G62" s="73">
        <f t="shared" si="1"/>
        <v>156828242.99333361</v>
      </c>
      <c r="H62" s="181">
        <v>2.4586993820999631E-2</v>
      </c>
      <c r="I62" s="73">
        <f t="shared" si="2"/>
        <v>606002.09072270966</v>
      </c>
      <c r="J62" s="181">
        <v>2.2272385993804541E-2</v>
      </c>
      <c r="K62" s="73">
        <f t="shared" si="3"/>
        <v>6328627.5226165028</v>
      </c>
      <c r="L62" s="181">
        <v>2.012247396976494E-2</v>
      </c>
      <c r="M62" s="73">
        <f t="shared" si="4"/>
        <v>13826425.095232043</v>
      </c>
      <c r="N62" s="181">
        <v>1.9011633598047473E-2</v>
      </c>
      <c r="O62" s="73">
        <f t="shared" si="5"/>
        <v>217608.94866736865</v>
      </c>
      <c r="P62" s="181">
        <v>0</v>
      </c>
      <c r="Q62" s="73">
        <f t="shared" si="6"/>
        <v>0</v>
      </c>
      <c r="R62" s="181">
        <v>7.3613239999999996E-2</v>
      </c>
      <c r="S62" s="73">
        <f t="shared" si="7"/>
        <v>2208397.1999999997</v>
      </c>
      <c r="T62" s="181">
        <v>1.9803562459634064E-2</v>
      </c>
      <c r="U62" s="73">
        <f t="shared" si="8"/>
        <v>51102541.030814156</v>
      </c>
      <c r="V62" s="181">
        <v>0.23092995813269934</v>
      </c>
      <c r="W62" s="73">
        <f t="shared" si="9"/>
        <v>17663429.179960731</v>
      </c>
      <c r="X62" s="181">
        <v>3.4930729575828538E-2</v>
      </c>
      <c r="Y62" s="73">
        <f t="shared" si="10"/>
        <v>12856074.487746473</v>
      </c>
      <c r="Z62" s="73">
        <v>1750000</v>
      </c>
      <c r="AA62" s="73">
        <f t="shared" si="11"/>
        <v>14606074.487746473</v>
      </c>
      <c r="AB62" s="74">
        <f t="shared" si="12"/>
        <v>266532075.04316986</v>
      </c>
    </row>
    <row r="63" spans="1:28" ht="14">
      <c r="A63" s="37" t="s">
        <v>80</v>
      </c>
      <c r="B63" s="181">
        <v>4.0000007882070787E-3</v>
      </c>
      <c r="C63" s="73">
        <f t="shared" si="15"/>
        <v>467620.3396043164</v>
      </c>
      <c r="D63" s="181">
        <v>4.9997117070213551E-3</v>
      </c>
      <c r="E63" s="73">
        <f t="shared" si="15"/>
        <v>122098.82687202259</v>
      </c>
      <c r="F63" s="101">
        <v>2.0588672012892997E-3</v>
      </c>
      <c r="G63" s="73">
        <f t="shared" si="1"/>
        <v>10957745.942100203</v>
      </c>
      <c r="H63" s="181">
        <v>1.0691397620355937E-2</v>
      </c>
      <c r="I63" s="73">
        <f t="shared" si="2"/>
        <v>263513.68361063366</v>
      </c>
      <c r="J63" s="181">
        <v>7.8379601658156682E-3</v>
      </c>
      <c r="K63" s="73">
        <f t="shared" si="3"/>
        <v>2227131.4101843848</v>
      </c>
      <c r="L63" s="181">
        <v>1.2442821810607473E-2</v>
      </c>
      <c r="M63" s="73">
        <f t="shared" si="4"/>
        <v>8549631.8194364365</v>
      </c>
      <c r="N63" s="181">
        <v>1.5601625084096115E-2</v>
      </c>
      <c r="O63" s="73">
        <f t="shared" si="5"/>
        <v>178577.67006414852</v>
      </c>
      <c r="P63" s="181">
        <v>9.4600000000000004E-2</v>
      </c>
      <c r="Q63" s="73">
        <f t="shared" si="6"/>
        <v>1892000</v>
      </c>
      <c r="R63" s="181">
        <v>0</v>
      </c>
      <c r="S63" s="73">
        <f t="shared" si="7"/>
        <v>0</v>
      </c>
      <c r="T63" s="181">
        <v>4.1894171525175039E-4</v>
      </c>
      <c r="U63" s="73">
        <f t="shared" si="8"/>
        <v>1081067.4209153294</v>
      </c>
      <c r="V63" s="181">
        <v>0</v>
      </c>
      <c r="W63" s="73">
        <f t="shared" si="9"/>
        <v>0</v>
      </c>
      <c r="X63" s="181">
        <v>2.288728734819731E-3</v>
      </c>
      <c r="Y63" s="73">
        <f t="shared" si="10"/>
        <v>842354.78200401377</v>
      </c>
      <c r="Z63" s="73">
        <v>1750000</v>
      </c>
      <c r="AA63" s="73">
        <f t="shared" si="11"/>
        <v>2592354.7820040137</v>
      </c>
      <c r="AB63" s="74">
        <f t="shared" si="12"/>
        <v>28331741.894791488</v>
      </c>
    </row>
    <row r="64" spans="1:28" ht="14">
      <c r="A64" s="37" t="s">
        <v>128</v>
      </c>
      <c r="B64" s="181">
        <v>1.2934234187714461E-2</v>
      </c>
      <c r="C64" s="73">
        <f t="shared" si="15"/>
        <v>1512077.4478876621</v>
      </c>
      <c r="D64" s="181">
        <v>1.3596298431638185E-2</v>
      </c>
      <c r="E64" s="73">
        <f t="shared" si="15"/>
        <v>332037.56248057052</v>
      </c>
      <c r="F64" s="101">
        <v>1.0272789336371092E-2</v>
      </c>
      <c r="G64" s="73">
        <f t="shared" si="1"/>
        <v>54674053.573819295</v>
      </c>
      <c r="H64" s="181">
        <v>1.266441635921187E-2</v>
      </c>
      <c r="I64" s="73">
        <f t="shared" si="2"/>
        <v>312143.19437906996</v>
      </c>
      <c r="J64" s="181">
        <v>1.7795865384135856E-2</v>
      </c>
      <c r="K64" s="73">
        <f t="shared" si="3"/>
        <v>5056638.4531117901</v>
      </c>
      <c r="L64" s="181">
        <v>2.5124145650849593E-2</v>
      </c>
      <c r="M64" s="73">
        <f t="shared" si="4"/>
        <v>17263141.621906128</v>
      </c>
      <c r="N64" s="181">
        <v>2.5371424307656154E-2</v>
      </c>
      <c r="O64" s="73">
        <f t="shared" si="5"/>
        <v>290403.71209077997</v>
      </c>
      <c r="P64" s="181">
        <v>0</v>
      </c>
      <c r="Q64" s="73">
        <f t="shared" si="6"/>
        <v>0</v>
      </c>
      <c r="R64" s="181">
        <v>6.8908360000000002E-2</v>
      </c>
      <c r="S64" s="73">
        <f t="shared" si="7"/>
        <v>2067250.8</v>
      </c>
      <c r="T64" s="181">
        <v>5.9351682511134686E-4</v>
      </c>
      <c r="U64" s="73">
        <f t="shared" si="8"/>
        <v>1531553.6267554765</v>
      </c>
      <c r="V64" s="181">
        <v>0</v>
      </c>
      <c r="W64" s="73">
        <f t="shared" si="9"/>
        <v>0</v>
      </c>
      <c r="X64" s="181">
        <v>1.3852712230365367E-2</v>
      </c>
      <c r="Y64" s="73">
        <f t="shared" si="10"/>
        <v>5098419.1413548365</v>
      </c>
      <c r="Z64" s="73">
        <v>1750000</v>
      </c>
      <c r="AA64" s="73">
        <f t="shared" si="11"/>
        <v>6848419.1413548365</v>
      </c>
      <c r="AB64" s="74">
        <f t="shared" si="12"/>
        <v>89887719.133785605</v>
      </c>
    </row>
    <row r="65" spans="1:30" ht="14">
      <c r="A65" s="37" t="s">
        <v>133</v>
      </c>
      <c r="B65" s="181">
        <v>4.000010171624678E-3</v>
      </c>
      <c r="C65" s="73">
        <f t="shared" si="15"/>
        <v>467621.43657333136</v>
      </c>
      <c r="D65" s="181">
        <v>4.9997117070213551E-3</v>
      </c>
      <c r="E65" s="73">
        <f t="shared" si="15"/>
        <v>122098.82687202259</v>
      </c>
      <c r="F65" s="101">
        <v>4.2068285235218441E-4</v>
      </c>
      <c r="G65" s="73">
        <f t="shared" si="1"/>
        <v>2238967.0472124615</v>
      </c>
      <c r="H65" s="181">
        <v>0</v>
      </c>
      <c r="I65" s="73">
        <f t="shared" si="2"/>
        <v>0</v>
      </c>
      <c r="J65" s="181">
        <v>1.6345076162909359E-3</v>
      </c>
      <c r="K65" s="73">
        <f t="shared" si="3"/>
        <v>464440.13179650047</v>
      </c>
      <c r="L65" s="181">
        <v>1.0110157472044462E-2</v>
      </c>
      <c r="M65" s="73">
        <f t="shared" si="4"/>
        <v>6946826.4786060117</v>
      </c>
      <c r="N65" s="181">
        <v>9.3819278310489865E-3</v>
      </c>
      <c r="O65" s="73">
        <f t="shared" si="5"/>
        <v>107386.42953845751</v>
      </c>
      <c r="P65" s="181">
        <v>0</v>
      </c>
      <c r="Q65" s="73">
        <f t="shared" si="6"/>
        <v>0</v>
      </c>
      <c r="R65" s="181">
        <v>5.4818000000000002E-3</v>
      </c>
      <c r="S65" s="73">
        <f t="shared" si="7"/>
        <v>164454</v>
      </c>
      <c r="T65" s="181">
        <v>0</v>
      </c>
      <c r="U65" s="73">
        <f t="shared" si="8"/>
        <v>0</v>
      </c>
      <c r="V65" s="181">
        <v>0</v>
      </c>
      <c r="W65" s="73">
        <f t="shared" si="9"/>
        <v>0</v>
      </c>
      <c r="X65" s="181">
        <v>6.1852884349986189E-4</v>
      </c>
      <c r="Y65" s="73">
        <f t="shared" si="10"/>
        <v>227646.34410488952</v>
      </c>
      <c r="Z65" s="73">
        <v>1750000</v>
      </c>
      <c r="AA65" s="73">
        <f t="shared" si="11"/>
        <v>1977646.3441048895</v>
      </c>
      <c r="AB65" s="74">
        <f t="shared" si="12"/>
        <v>12489440.694703674</v>
      </c>
    </row>
    <row r="66" spans="1:30">
      <c r="A66" s="37" t="s">
        <v>106</v>
      </c>
      <c r="B66" s="181">
        <v>0</v>
      </c>
      <c r="C66" s="73">
        <f t="shared" si="15"/>
        <v>0</v>
      </c>
      <c r="D66" s="181">
        <v>0</v>
      </c>
      <c r="E66" s="73">
        <f t="shared" si="15"/>
        <v>0</v>
      </c>
      <c r="F66" s="181">
        <v>0</v>
      </c>
      <c r="G66" s="73">
        <f t="shared" si="1"/>
        <v>0</v>
      </c>
      <c r="H66" s="181">
        <v>0</v>
      </c>
      <c r="I66" s="73">
        <f t="shared" si="2"/>
        <v>0</v>
      </c>
      <c r="J66" s="181">
        <v>0</v>
      </c>
      <c r="K66" s="73">
        <f t="shared" si="3"/>
        <v>0</v>
      </c>
      <c r="L66" s="181">
        <v>0</v>
      </c>
      <c r="M66" s="73">
        <f t="shared" si="4"/>
        <v>0</v>
      </c>
      <c r="N66" s="181">
        <v>0</v>
      </c>
      <c r="O66" s="73">
        <f t="shared" si="5"/>
        <v>0</v>
      </c>
      <c r="P66" s="181">
        <v>0</v>
      </c>
      <c r="Q66" s="73">
        <f t="shared" si="6"/>
        <v>0</v>
      </c>
      <c r="R66" s="181">
        <v>0</v>
      </c>
      <c r="S66" s="73">
        <f t="shared" si="7"/>
        <v>0</v>
      </c>
      <c r="T66" s="181">
        <v>0</v>
      </c>
      <c r="U66" s="73">
        <f t="shared" si="8"/>
        <v>0</v>
      </c>
      <c r="V66" s="181">
        <v>0</v>
      </c>
      <c r="W66" s="73">
        <f t="shared" si="9"/>
        <v>0</v>
      </c>
      <c r="X66" s="181">
        <v>0</v>
      </c>
      <c r="Y66" s="73">
        <f t="shared" si="10"/>
        <v>0</v>
      </c>
      <c r="Z66" s="75">
        <v>0</v>
      </c>
      <c r="AA66" s="73">
        <f t="shared" si="11"/>
        <v>0</v>
      </c>
      <c r="AB66" s="74">
        <f t="shared" si="12"/>
        <v>0</v>
      </c>
      <c r="AD66" s="72" t="s">
        <v>151</v>
      </c>
    </row>
    <row r="67" spans="1:30" ht="12" thickBot="1">
      <c r="A67" s="133" t="s">
        <v>107</v>
      </c>
      <c r="B67" s="133"/>
      <c r="C67" s="126">
        <f>C70-C68</f>
        <v>116905061.86472978</v>
      </c>
      <c r="D67" s="126"/>
      <c r="E67" s="126">
        <f>E70-E68</f>
        <v>24421173.464972563</v>
      </c>
      <c r="F67" s="126"/>
      <c r="G67" s="126">
        <f>G70-G68</f>
        <v>5322220848.0655117</v>
      </c>
      <c r="H67" s="155"/>
      <c r="I67" s="126">
        <f>I70-I68</f>
        <v>24647262.497179557</v>
      </c>
      <c r="J67" s="126"/>
      <c r="K67" s="126">
        <f>K70-K68</f>
        <v>284146814.10320938</v>
      </c>
      <c r="L67" s="126"/>
      <c r="M67" s="126">
        <f>M70-M68</f>
        <v>687113578.38041997</v>
      </c>
      <c r="N67" s="126"/>
      <c r="O67" s="126">
        <f>O70-O68</f>
        <v>11446094.179393267</v>
      </c>
      <c r="P67" s="126"/>
      <c r="Q67" s="126">
        <f>Q70-Q68</f>
        <v>20000000</v>
      </c>
      <c r="R67" s="126"/>
      <c r="S67" s="126">
        <f>S70-S68</f>
        <v>30000000</v>
      </c>
      <c r="T67" s="126"/>
      <c r="U67" s="126">
        <f>U70-U68</f>
        <v>2580472131.4651003</v>
      </c>
      <c r="V67" s="126"/>
      <c r="W67" s="126">
        <f>W70-W68</f>
        <v>76488253.506765842</v>
      </c>
      <c r="X67" s="126"/>
      <c r="Y67" s="126">
        <f>Y70-Y68</f>
        <v>368044831.69577581</v>
      </c>
      <c r="Z67" s="126">
        <f>SUM(Z10:Z66)</f>
        <v>90500000</v>
      </c>
      <c r="AA67" s="126">
        <f t="shared" si="11"/>
        <v>458544831.69577581</v>
      </c>
      <c r="AB67" s="136">
        <f>SUM(C67+E67+G67+I67+K67+M67+O67+Q67+S67+U67+W67+AA67)</f>
        <v>9636406049.2230568</v>
      </c>
    </row>
    <row r="68" spans="1:30" ht="12" thickTop="1">
      <c r="A68" s="41" t="s">
        <v>108</v>
      </c>
      <c r="B68" s="41"/>
      <c r="C68" s="134">
        <f>C70*0.005</f>
        <v>587462.62243582797</v>
      </c>
      <c r="D68" s="134"/>
      <c r="E68" s="134">
        <f>E70*0.005</f>
        <v>122719.46464810333</v>
      </c>
      <c r="F68" s="134">
        <f>G77*0.0075</f>
        <v>36561039.277040482</v>
      </c>
      <c r="G68" s="156">
        <f>'Program Totals'!L11*0.0075</f>
        <v>36970893.745769329</v>
      </c>
      <c r="H68" s="156"/>
      <c r="I68" s="76">
        <v>0</v>
      </c>
      <c r="J68" s="76"/>
      <c r="K68" s="134">
        <f>K70*0.005</f>
        <v>1427873.4377045697</v>
      </c>
      <c r="L68" s="76"/>
      <c r="M68" s="76">
        <f>'Program Totals'!L17*0.005</f>
        <v>3366498.2880568434</v>
      </c>
      <c r="N68" s="76"/>
      <c r="O68" s="76">
        <v>0</v>
      </c>
      <c r="P68" s="76"/>
      <c r="Q68" s="76">
        <v>0</v>
      </c>
      <c r="R68" s="76"/>
      <c r="S68" s="76">
        <v>0</v>
      </c>
      <c r="T68" s="76"/>
      <c r="U68" s="76">
        <f>(U70+W70)*0.01</f>
        <v>26837983.686584506</v>
      </c>
      <c r="V68" s="76"/>
      <c r="W68" s="76">
        <v>0</v>
      </c>
      <c r="X68" s="76"/>
      <c r="Y68" s="76">
        <f>AA75*0.0075</f>
        <v>6064904.3599177012</v>
      </c>
      <c r="Z68" s="76">
        <v>0</v>
      </c>
      <c r="AA68" s="76">
        <f>Y68</f>
        <v>6064904.3599177012</v>
      </c>
      <c r="AB68" s="74">
        <f t="shared" ref="AB68:AB75" si="16">SUM(C68+E68+G68+I68+K68+M68+O68+Q68+S68+U68+W68+AA68)</f>
        <v>75378335.605116874</v>
      </c>
    </row>
    <row r="69" spans="1:30">
      <c r="A69" s="41"/>
      <c r="B69" s="41"/>
      <c r="C69" s="76">
        <v>0</v>
      </c>
      <c r="D69" s="76"/>
      <c r="E69" s="76">
        <v>0</v>
      </c>
      <c r="F69" s="76"/>
      <c r="G69" s="156">
        <v>0</v>
      </c>
      <c r="H69" s="156"/>
      <c r="I69" s="76">
        <v>0</v>
      </c>
      <c r="J69" s="76"/>
      <c r="K69" s="76">
        <v>0</v>
      </c>
      <c r="L69" s="76"/>
      <c r="M69" s="76">
        <v>0</v>
      </c>
      <c r="N69" s="76"/>
      <c r="O69" s="76">
        <v>0</v>
      </c>
      <c r="P69" s="76"/>
      <c r="Q69" s="76">
        <v>0</v>
      </c>
      <c r="R69" s="76"/>
      <c r="S69" s="76">
        <v>0</v>
      </c>
      <c r="T69" s="76"/>
      <c r="U69" s="76">
        <v>0</v>
      </c>
      <c r="V69" s="76"/>
      <c r="W69" s="76">
        <v>0</v>
      </c>
      <c r="X69" s="76"/>
      <c r="Y69" s="76">
        <v>0</v>
      </c>
      <c r="Z69" s="76">
        <v>0</v>
      </c>
      <c r="AA69" s="76">
        <v>0</v>
      </c>
      <c r="AB69" s="74">
        <f>SUM(C69:Z69)</f>
        <v>0</v>
      </c>
    </row>
    <row r="70" spans="1:30" ht="12" thickBot="1">
      <c r="A70" s="135" t="s">
        <v>107</v>
      </c>
      <c r="B70" s="135"/>
      <c r="C70" s="126">
        <f>'Program Totals'!L9</f>
        <v>117492524.4871656</v>
      </c>
      <c r="D70" s="126"/>
      <c r="E70" s="126">
        <f>'Program Totals'!L10</f>
        <v>24543892.929620665</v>
      </c>
      <c r="F70" s="126"/>
      <c r="G70" s="126">
        <f>G77+G80+H79</f>
        <v>5359191741.8112812</v>
      </c>
      <c r="H70" s="155"/>
      <c r="I70" s="126">
        <f>'Program Totals'!L12</f>
        <v>24647262.497179557</v>
      </c>
      <c r="J70" s="126"/>
      <c r="K70" s="126">
        <f>'Program Totals'!L15</f>
        <v>285574687.54091394</v>
      </c>
      <c r="L70" s="126"/>
      <c r="M70" s="126">
        <f>M77+I79</f>
        <v>690480076.66847682</v>
      </c>
      <c r="N70" s="126"/>
      <c r="O70" s="126">
        <f>'Program Totals'!L23-O74</f>
        <v>11446094.179393267</v>
      </c>
      <c r="P70" s="126"/>
      <c r="Q70" s="126">
        <f>'Program Totals'!L21</f>
        <v>20000000</v>
      </c>
      <c r="R70" s="126"/>
      <c r="S70" s="126">
        <f>'Program Totals'!L19</f>
        <v>30000000</v>
      </c>
      <c r="T70" s="126"/>
      <c r="U70" s="126">
        <f>'Program Totals'!L37</f>
        <v>2607310115.1516848</v>
      </c>
      <c r="V70" s="126"/>
      <c r="W70" s="126">
        <f>'Program Totals'!L38</f>
        <v>76488253.506765842</v>
      </c>
      <c r="X70" s="126"/>
      <c r="Y70" s="126">
        <f>'Program Totals'!L40-Z67</f>
        <v>374109736.05569351</v>
      </c>
      <c r="Z70" s="126">
        <f>Z67</f>
        <v>90500000</v>
      </c>
      <c r="AA70" s="126">
        <f t="shared" ref="AA70" si="17">SUM(Y70+Z70)</f>
        <v>464609736.05569351</v>
      </c>
      <c r="AB70" s="136">
        <f t="shared" si="16"/>
        <v>9711784384.8281746</v>
      </c>
      <c r="AC70" s="72">
        <f>AB67+AB68</f>
        <v>9711784384.8281746</v>
      </c>
    </row>
    <row r="71" spans="1:30" ht="12" thickTop="1">
      <c r="A71" s="125" t="s">
        <v>160</v>
      </c>
      <c r="B71" s="125"/>
      <c r="C71" s="75">
        <v>0</v>
      </c>
      <c r="D71" s="75"/>
      <c r="E71" s="75">
        <v>0</v>
      </c>
      <c r="F71" s="75"/>
      <c r="G71" s="132">
        <v>0</v>
      </c>
      <c r="H71" s="132"/>
      <c r="I71" s="75">
        <v>0</v>
      </c>
      <c r="J71" s="75"/>
      <c r="K71" s="75">
        <v>0</v>
      </c>
      <c r="L71" s="75"/>
      <c r="M71" s="75">
        <v>0</v>
      </c>
      <c r="N71" s="75"/>
      <c r="O71" s="75">
        <v>0</v>
      </c>
      <c r="P71" s="75"/>
      <c r="Q71" s="75">
        <v>0</v>
      </c>
      <c r="R71" s="75"/>
      <c r="S71" s="75">
        <v>0</v>
      </c>
      <c r="T71" s="75"/>
      <c r="U71" s="75">
        <v>0</v>
      </c>
      <c r="V71" s="75"/>
      <c r="W71" s="75">
        <v>0</v>
      </c>
      <c r="X71" s="75"/>
      <c r="Y71" s="75">
        <f>'Program Totals'!L43</f>
        <v>344044178.60000002</v>
      </c>
      <c r="Z71" s="75">
        <v>0</v>
      </c>
      <c r="AA71" s="75">
        <f>Y71</f>
        <v>344044178.60000002</v>
      </c>
      <c r="AB71" s="74">
        <f t="shared" si="16"/>
        <v>344044178.60000002</v>
      </c>
    </row>
    <row r="72" spans="1:30">
      <c r="A72" s="123" t="s">
        <v>109</v>
      </c>
      <c r="B72" s="123"/>
      <c r="C72" s="75">
        <v>0</v>
      </c>
      <c r="D72" s="75"/>
      <c r="E72" s="75">
        <v>0</v>
      </c>
      <c r="F72" s="75"/>
      <c r="G72" s="132">
        <f>'Program Totals'!L13</f>
        <v>30000000</v>
      </c>
      <c r="H72" s="132"/>
      <c r="I72" s="75">
        <v>0</v>
      </c>
      <c r="J72" s="75"/>
      <c r="K72" s="75">
        <v>0</v>
      </c>
      <c r="L72" s="75"/>
      <c r="M72" s="75">
        <v>0</v>
      </c>
      <c r="N72" s="75"/>
      <c r="O72" s="75">
        <v>0</v>
      </c>
      <c r="P72" s="75"/>
      <c r="Q72" s="75">
        <v>0</v>
      </c>
      <c r="R72" s="75"/>
      <c r="S72" s="75">
        <v>0</v>
      </c>
      <c r="T72" s="75"/>
      <c r="U72" s="75">
        <v>0</v>
      </c>
      <c r="V72" s="75"/>
      <c r="W72" s="75">
        <v>0</v>
      </c>
      <c r="X72" s="75"/>
      <c r="Y72" s="75">
        <v>0</v>
      </c>
      <c r="Z72" s="75">
        <v>0</v>
      </c>
      <c r="AA72" s="75">
        <v>0</v>
      </c>
      <c r="AB72" s="74">
        <f t="shared" si="16"/>
        <v>30000000</v>
      </c>
    </row>
    <row r="73" spans="1:30">
      <c r="A73" s="72" t="s">
        <v>158</v>
      </c>
      <c r="C73" s="72">
        <v>0</v>
      </c>
      <c r="E73" s="72">
        <v>0</v>
      </c>
      <c r="G73" s="157">
        <v>0</v>
      </c>
      <c r="H73" s="157"/>
      <c r="I73" s="72">
        <v>0</v>
      </c>
      <c r="K73" s="72">
        <v>0</v>
      </c>
      <c r="M73" s="72">
        <v>0</v>
      </c>
      <c r="O73" s="72">
        <v>0</v>
      </c>
      <c r="Q73" s="72">
        <v>0</v>
      </c>
      <c r="S73" s="72">
        <v>5000000</v>
      </c>
      <c r="U73" s="72">
        <v>0</v>
      </c>
      <c r="W73" s="72">
        <v>0</v>
      </c>
      <c r="Y73" s="72">
        <v>0</v>
      </c>
      <c r="Z73" s="72">
        <v>0</v>
      </c>
      <c r="AA73" s="72">
        <v>0</v>
      </c>
      <c r="AB73" s="74">
        <f t="shared" si="16"/>
        <v>5000000</v>
      </c>
    </row>
    <row r="74" spans="1:30">
      <c r="A74" s="72" t="s">
        <v>159</v>
      </c>
      <c r="C74" s="72">
        <v>0</v>
      </c>
      <c r="E74" s="72">
        <v>0</v>
      </c>
      <c r="G74" s="157">
        <v>0</v>
      </c>
      <c r="H74" s="157"/>
      <c r="I74" s="72">
        <v>0</v>
      </c>
      <c r="K74" s="72">
        <v>0</v>
      </c>
      <c r="M74" s="72">
        <v>0</v>
      </c>
      <c r="O74" s="72">
        <f>'Program Totals'!L22</f>
        <v>2019898.9728341061</v>
      </c>
      <c r="Q74" s="72">
        <v>0</v>
      </c>
      <c r="S74" s="72">
        <v>0</v>
      </c>
      <c r="U74" s="72">
        <v>0</v>
      </c>
      <c r="W74" s="72">
        <v>0</v>
      </c>
      <c r="Y74" s="72">
        <v>0</v>
      </c>
      <c r="Z74" s="72">
        <v>0</v>
      </c>
      <c r="AA74" s="72">
        <v>0</v>
      </c>
      <c r="AB74" s="74">
        <f t="shared" si="16"/>
        <v>2019898.9728341061</v>
      </c>
    </row>
    <row r="75" spans="1:30" ht="12" thickBot="1">
      <c r="A75" s="130" t="s">
        <v>110</v>
      </c>
      <c r="B75" s="130"/>
      <c r="C75" s="130">
        <f>C70+C71+C72+C73+C74</f>
        <v>117492524.4871656</v>
      </c>
      <c r="D75" s="130"/>
      <c r="E75" s="130">
        <f t="shared" ref="E75:AA75" si="18">E70+E71+E72+E73+E74</f>
        <v>24543892.929620665</v>
      </c>
      <c r="F75" s="130"/>
      <c r="G75" s="130">
        <f t="shared" si="18"/>
        <v>5389191741.8112812</v>
      </c>
      <c r="H75" s="158"/>
      <c r="I75" s="130">
        <f t="shared" si="18"/>
        <v>24647262.497179557</v>
      </c>
      <c r="J75" s="130"/>
      <c r="K75" s="130">
        <f t="shared" si="18"/>
        <v>285574687.54091394</v>
      </c>
      <c r="L75" s="130"/>
      <c r="M75" s="130">
        <f t="shared" si="18"/>
        <v>690480076.66847682</v>
      </c>
      <c r="N75" s="130"/>
      <c r="O75" s="130">
        <f t="shared" si="18"/>
        <v>13465993.152227374</v>
      </c>
      <c r="P75" s="130"/>
      <c r="Q75" s="130">
        <f t="shared" si="18"/>
        <v>20000000</v>
      </c>
      <c r="R75" s="130"/>
      <c r="S75" s="130">
        <f t="shared" si="18"/>
        <v>35000000</v>
      </c>
      <c r="T75" s="130"/>
      <c r="U75" s="130">
        <f t="shared" si="18"/>
        <v>2607310115.1516848</v>
      </c>
      <c r="V75" s="130"/>
      <c r="W75" s="130">
        <f t="shared" si="18"/>
        <v>76488253.506765842</v>
      </c>
      <c r="X75" s="130"/>
      <c r="Y75" s="130">
        <f t="shared" si="18"/>
        <v>718153914.65569353</v>
      </c>
      <c r="Z75" s="130">
        <f t="shared" si="18"/>
        <v>90500000</v>
      </c>
      <c r="AA75" s="130">
        <f t="shared" si="18"/>
        <v>808653914.65569353</v>
      </c>
      <c r="AB75" s="136">
        <f t="shared" si="16"/>
        <v>10092848462.401009</v>
      </c>
      <c r="AC75" s="72">
        <f>'Program Totals'!L61</f>
        <v>10092848462.401009</v>
      </c>
      <c r="AD75" s="72">
        <f>AC70+AB71+AB72+AB73+AB74</f>
        <v>10092848462.401009</v>
      </c>
    </row>
    <row r="76" spans="1:30" ht="12" hidden="1" thickTop="1">
      <c r="AC76" s="72">
        <f>AB70+AB71+AB72+AB73+AB74</f>
        <v>10092848462.401009</v>
      </c>
    </row>
    <row r="77" spans="1:30" hidden="1">
      <c r="G77" s="72">
        <f>'Program Totals'!L14</f>
        <v>4874805236.9387312</v>
      </c>
      <c r="M77" s="72">
        <f>'Program Totals'!L18</f>
        <v>604833664.45914125</v>
      </c>
      <c r="Y77" s="100"/>
    </row>
    <row r="78" spans="1:30" hidden="1">
      <c r="A78" s="72" t="s">
        <v>111</v>
      </c>
    </row>
    <row r="79" spans="1:30" hidden="1">
      <c r="G79" s="157">
        <f>'Program Totals'!L46</f>
        <v>300668842.63370407</v>
      </c>
      <c r="H79" s="157">
        <f>G79*0.715147032</f>
        <v>215022430.4243685</v>
      </c>
      <c r="I79" s="72">
        <f>G79-H79</f>
        <v>85646412.209335566</v>
      </c>
    </row>
    <row r="80" spans="1:30" hidden="1">
      <c r="G80" s="72">
        <f>'Program Totals'!L47</f>
        <v>269364074.44818091</v>
      </c>
      <c r="I80" s="72">
        <f t="shared" ref="I80:AB80" si="19">SUM(I10:I66)-I67</f>
        <v>0</v>
      </c>
      <c r="K80" s="72">
        <f t="shared" si="19"/>
        <v>0</v>
      </c>
      <c r="M80" s="72">
        <f t="shared" si="19"/>
        <v>0</v>
      </c>
      <c r="O80" s="72">
        <f t="shared" si="19"/>
        <v>0</v>
      </c>
      <c r="Q80" s="72">
        <f t="shared" si="19"/>
        <v>0</v>
      </c>
      <c r="S80" s="72">
        <f t="shared" si="19"/>
        <v>0</v>
      </c>
      <c r="U80" s="72">
        <f t="shared" si="19"/>
        <v>0</v>
      </c>
      <c r="W80" s="72">
        <f t="shared" si="19"/>
        <v>0</v>
      </c>
      <c r="Y80" s="72">
        <f t="shared" si="19"/>
        <v>0</v>
      </c>
      <c r="Z80" s="72">
        <f t="shared" si="19"/>
        <v>0</v>
      </c>
      <c r="AA80" s="72">
        <f t="shared" si="19"/>
        <v>0</v>
      </c>
      <c r="AB80" s="72">
        <f t="shared" si="19"/>
        <v>0</v>
      </c>
    </row>
    <row r="81" spans="25:30" hidden="1"/>
    <row r="82" spans="25:30" ht="12" thickTop="1">
      <c r="AD82" s="72">
        <f>AD75-AC75</f>
        <v>0</v>
      </c>
    </row>
    <row r="88" spans="25:30">
      <c r="Y88" s="43"/>
      <c r="Z88" s="43"/>
      <c r="AA88" s="43"/>
    </row>
    <row r="94" spans="25:30">
      <c r="Y94" s="43"/>
      <c r="Z94" s="43"/>
      <c r="AA94" s="43"/>
    </row>
  </sheetData>
  <mergeCells count="8">
    <mergeCell ref="U7:W7"/>
    <mergeCell ref="A1:AB1"/>
    <mergeCell ref="A2:AB2"/>
    <mergeCell ref="A3:AB3"/>
    <mergeCell ref="A4:AB4"/>
    <mergeCell ref="C5:AB5"/>
    <mergeCell ref="U6:W6"/>
    <mergeCell ref="Y6:Z6"/>
  </mergeCells>
  <pageMargins left="0.7" right="0.7" top="0.75" bottom="0.75" header="0.3" footer="0.3"/>
  <pageSetup orientation="portrait" horizontalDpi="4294967295" verticalDpi="429496729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workbookViewId="0">
      <selection activeCell="H8" sqref="H8"/>
    </sheetView>
  </sheetViews>
  <sheetFormatPr baseColWidth="10" defaultColWidth="8.83203125" defaultRowHeight="14" x14ac:dyDescent="0"/>
  <cols>
    <col min="1" max="1" width="29.33203125" style="72" customWidth="1"/>
    <col min="2" max="2" width="14" style="101" customWidth="1"/>
    <col min="3" max="3" width="14.83203125" style="101" customWidth="1"/>
    <col min="4" max="4" width="16.5" style="101" customWidth="1"/>
    <col min="5" max="5" width="13" style="101" customWidth="1"/>
    <col min="6" max="6" width="14.5" style="101" customWidth="1"/>
    <col min="7" max="7" width="16.5" style="101" customWidth="1"/>
    <col min="8" max="8" width="11.6640625" style="101" customWidth="1"/>
    <col min="9" max="16384" width="8.83203125" style="101"/>
  </cols>
  <sheetData>
    <row r="1" spans="1:8" ht="18">
      <c r="A1" s="101"/>
      <c r="B1" s="143" t="s">
        <v>254</v>
      </c>
      <c r="C1" s="142"/>
      <c r="D1" s="102"/>
      <c r="E1" s="102"/>
      <c r="F1" s="102"/>
      <c r="G1" s="102"/>
    </row>
    <row r="2" spans="1:8">
      <c r="A2" s="163"/>
      <c r="B2" s="140" t="s">
        <v>188</v>
      </c>
      <c r="C2" s="140" t="s">
        <v>189</v>
      </c>
      <c r="D2" s="140" t="s">
        <v>190</v>
      </c>
      <c r="E2" s="140" t="s">
        <v>191</v>
      </c>
      <c r="F2" s="140" t="s">
        <v>192</v>
      </c>
      <c r="G2" s="140" t="s">
        <v>246</v>
      </c>
    </row>
    <row r="3" spans="1:8">
      <c r="A3" s="164" t="s">
        <v>35</v>
      </c>
      <c r="B3" s="141" t="s">
        <v>105</v>
      </c>
      <c r="C3" s="141" t="s">
        <v>105</v>
      </c>
      <c r="D3" s="141" t="s">
        <v>105</v>
      </c>
      <c r="E3" s="141" t="s">
        <v>105</v>
      </c>
      <c r="F3" s="141" t="s">
        <v>105</v>
      </c>
      <c r="G3" s="141" t="s">
        <v>105</v>
      </c>
    </row>
    <row r="4" spans="1:8">
      <c r="A4" s="165" t="s">
        <v>119</v>
      </c>
      <c r="B4" s="141">
        <v>52838746.309576377</v>
      </c>
      <c r="C4" s="141">
        <f>'FY 16'!AB10</f>
        <v>53895399.933722191</v>
      </c>
      <c r="D4" s="141">
        <f>'FY 17'!AB10</f>
        <v>54882913.122211643</v>
      </c>
      <c r="E4" s="141">
        <f>'FY18'!AB10</f>
        <v>55938294.179682575</v>
      </c>
      <c r="F4" s="141">
        <f>'FY19'!AB10</f>
        <v>56975798.801608719</v>
      </c>
      <c r="G4" s="141">
        <f>'FY20'!AB10</f>
        <v>58082842.934467919</v>
      </c>
      <c r="H4" s="102"/>
    </row>
    <row r="5" spans="1:8">
      <c r="A5" s="165" t="s">
        <v>36</v>
      </c>
      <c r="B5" s="141">
        <v>44509181.111939318</v>
      </c>
      <c r="C5" s="141">
        <f>'FY 16'!AB11</f>
        <v>51625428.6732274</v>
      </c>
      <c r="D5" s="141">
        <f>'FY 17'!AB11</f>
        <v>52586430.893094219</v>
      </c>
      <c r="E5" s="141">
        <f>'FY18'!AB11</f>
        <v>53606719.941813357</v>
      </c>
      <c r="F5" s="141">
        <f>'FY19'!AB11</f>
        <v>54555033.414569892</v>
      </c>
      <c r="G5" s="141">
        <f>'FY20'!AB11</f>
        <v>55609594.277809821</v>
      </c>
      <c r="H5" s="102"/>
    </row>
    <row r="6" spans="1:8">
      <c r="A6" s="165" t="s">
        <v>37</v>
      </c>
      <c r="B6" s="141">
        <v>825834.44998067222</v>
      </c>
      <c r="C6" s="141">
        <f>'FY 16'!AB12</f>
        <v>830950.70164752367</v>
      </c>
      <c r="D6" s="141">
        <f>'FY 17'!AB12</f>
        <v>838295.49937752401</v>
      </c>
      <c r="E6" s="141">
        <f>'FY18'!AB12</f>
        <v>846118.31314226286</v>
      </c>
      <c r="F6" s="141">
        <f>'FY19'!AB12</f>
        <v>854175.93001025147</v>
      </c>
      <c r="G6" s="141">
        <f>'FY20'!AB12</f>
        <v>862408.1406819016</v>
      </c>
      <c r="H6" s="102"/>
    </row>
    <row r="7" spans="1:8">
      <c r="A7" s="165" t="s">
        <v>38</v>
      </c>
      <c r="B7" s="141">
        <v>107526626.92416336</v>
      </c>
      <c r="C7" s="141">
        <f>'FY 16'!AB13</f>
        <v>109929568.53139549</v>
      </c>
      <c r="D7" s="141">
        <f>'FY 17'!AB13</f>
        <v>112124626.07416293</v>
      </c>
      <c r="E7" s="141">
        <f>'FY18'!AB13</f>
        <v>114481119.00892657</v>
      </c>
      <c r="F7" s="141">
        <f>'FY19'!AB13</f>
        <v>117005463.1280894</v>
      </c>
      <c r="G7" s="141">
        <f>'FY20'!AB13</f>
        <v>119470089.32748559</v>
      </c>
      <c r="H7" s="102"/>
    </row>
    <row r="8" spans="1:8">
      <c r="A8" s="165" t="s">
        <v>39</v>
      </c>
      <c r="B8" s="141">
        <v>30744550.881246865</v>
      </c>
      <c r="C8" s="141">
        <f>'FY 16'!AB14</f>
        <v>31650537.801273279</v>
      </c>
      <c r="D8" s="141">
        <f>'FY 17'!AB14</f>
        <v>32281902.095116682</v>
      </c>
      <c r="E8" s="141">
        <f>'FY18'!AB14</f>
        <v>32956659.830714472</v>
      </c>
      <c r="F8" s="141">
        <f>'FY19'!AB14</f>
        <v>33585908.60907501</v>
      </c>
      <c r="G8" s="141">
        <f>'FY20'!AB14</f>
        <v>34292590.983926594</v>
      </c>
      <c r="H8" s="102"/>
    </row>
    <row r="9" spans="1:8">
      <c r="A9" s="165" t="s">
        <v>120</v>
      </c>
      <c r="B9" s="141">
        <v>1253984979.867434</v>
      </c>
      <c r="C9" s="141">
        <f>'FY 16'!AB15</f>
        <v>1317468210.2262456</v>
      </c>
      <c r="D9" s="141">
        <f>'FY 17'!AB15</f>
        <v>1343523065.5130818</v>
      </c>
      <c r="E9" s="141">
        <f>'FY18'!AB15</f>
        <v>1371406840.925086</v>
      </c>
      <c r="F9" s="141">
        <f>'FY19'!AB15</f>
        <v>1399901099.9714434</v>
      </c>
      <c r="G9" s="141">
        <f>'FY20'!AB15</f>
        <v>1428800364.0633559</v>
      </c>
      <c r="H9" s="102"/>
    </row>
    <row r="10" spans="1:8">
      <c r="A10" s="165" t="s">
        <v>40</v>
      </c>
      <c r="B10" s="141">
        <v>111531890.7196829</v>
      </c>
      <c r="C10" s="141">
        <f>'FY 16'!AB16</f>
        <v>114618712.96995991</v>
      </c>
      <c r="D10" s="141">
        <f>'FY 17'!AB16</f>
        <v>116920877.28327045</v>
      </c>
      <c r="E10" s="141">
        <f>'FY18'!AB16</f>
        <v>119391655.04889968</v>
      </c>
      <c r="F10" s="141">
        <f>'FY19'!AB16</f>
        <v>122239166.3860936</v>
      </c>
      <c r="G10" s="141">
        <f>'FY20'!AB16</f>
        <v>124818532.95011325</v>
      </c>
      <c r="H10" s="102"/>
    </row>
    <row r="11" spans="1:8">
      <c r="A11" s="165" t="s">
        <v>121</v>
      </c>
      <c r="B11" s="141">
        <v>157663158.95948723</v>
      </c>
      <c r="C11" s="141">
        <f>'FY 16'!AB17</f>
        <v>166747877.32010546</v>
      </c>
      <c r="D11" s="141">
        <f>'FY 17'!AB17</f>
        <v>169453628.85767859</v>
      </c>
      <c r="E11" s="141">
        <f>'FY18'!AB17</f>
        <v>172171163.11483091</v>
      </c>
      <c r="F11" s="141">
        <f>'FY19'!AB17</f>
        <v>175543757.71056542</v>
      </c>
      <c r="G11" s="141">
        <f>'FY20'!AB17</f>
        <v>178524502.20131871</v>
      </c>
      <c r="H11" s="102"/>
    </row>
    <row r="12" spans="1:8">
      <c r="A12" s="165" t="s">
        <v>41</v>
      </c>
      <c r="B12" s="141">
        <v>24593443.547752906</v>
      </c>
      <c r="C12" s="141">
        <f>'FY 16'!AB18</f>
        <v>25309285.739223726</v>
      </c>
      <c r="D12" s="141">
        <f>'FY 17'!AB18</f>
        <v>25701073.140369315</v>
      </c>
      <c r="E12" s="141">
        <f>'FY18'!AB18</f>
        <v>26092623.74248217</v>
      </c>
      <c r="F12" s="141">
        <f>'FY19'!AB18</f>
        <v>26603153.373582788</v>
      </c>
      <c r="G12" s="141">
        <f>'FY20'!AB18</f>
        <v>27042818.784079541</v>
      </c>
      <c r="H12" s="102"/>
    </row>
    <row r="13" spans="1:8">
      <c r="A13" s="165" t="s">
        <v>42</v>
      </c>
      <c r="B13" s="141">
        <v>168198179.36634091</v>
      </c>
      <c r="C13" s="141">
        <f>'FY 16'!AB19</f>
        <v>199737484.51035646</v>
      </c>
      <c r="D13" s="141">
        <f>'FY 17'!AB19</f>
        <v>203238336.05269584</v>
      </c>
      <c r="E13" s="141">
        <f>'FY18'!AB19</f>
        <v>206883698.46261534</v>
      </c>
      <c r="F13" s="141">
        <f>'FY19'!AB19</f>
        <v>210465762.82443386</v>
      </c>
      <c r="G13" s="141">
        <f>'FY20'!AB19</f>
        <v>214222831.45518136</v>
      </c>
      <c r="H13" s="102"/>
    </row>
    <row r="14" spans="1:8">
      <c r="A14" s="165" t="s">
        <v>43</v>
      </c>
      <c r="B14" s="141">
        <v>360848078.34133577</v>
      </c>
      <c r="C14" s="141">
        <f>'FY 16'!AB20</f>
        <v>370830314.29643643</v>
      </c>
      <c r="D14" s="141">
        <f>'FY 17'!AB20</f>
        <v>378287718.12557423</v>
      </c>
      <c r="E14" s="141">
        <f>'FY18'!AB20</f>
        <v>386278460.68933195</v>
      </c>
      <c r="F14" s="141">
        <f>'FY19'!AB20</f>
        <v>393569019.94686538</v>
      </c>
      <c r="G14" s="141">
        <f>'FY20'!AB20</f>
        <v>401881815.5332697</v>
      </c>
      <c r="H14" s="102"/>
    </row>
    <row r="15" spans="1:8">
      <c r="A15" s="165" t="s">
        <v>44</v>
      </c>
      <c r="B15" s="141">
        <v>174055050.96458936</v>
      </c>
      <c r="C15" s="141">
        <f>'FY 16'!AB21</f>
        <v>183012058.86890996</v>
      </c>
      <c r="D15" s="141">
        <f>'FY 17'!AB21</f>
        <v>186581763.13463724</v>
      </c>
      <c r="E15" s="141">
        <f>'FY18'!AB21</f>
        <v>190380254.1418047</v>
      </c>
      <c r="F15" s="141">
        <f>'FY19'!AB21</f>
        <v>194509592.39882037</v>
      </c>
      <c r="G15" s="141">
        <f>'FY20'!AB21</f>
        <v>198474316.8055225</v>
      </c>
      <c r="H15" s="102"/>
    </row>
    <row r="16" spans="1:8">
      <c r="A16" s="165" t="s">
        <v>45</v>
      </c>
      <c r="B16" s="141">
        <v>1353129.7784506138</v>
      </c>
      <c r="C16" s="141">
        <f>'FY 16'!AB22</f>
        <v>1366494.4250859339</v>
      </c>
      <c r="D16" s="141">
        <f>'FY 17'!AB22</f>
        <v>1385726.406009983</v>
      </c>
      <c r="E16" s="141">
        <f>'FY18'!AB22</f>
        <v>1406209.9480299789</v>
      </c>
      <c r="F16" s="141">
        <f>'FY19'!AB22</f>
        <v>1427308.2943090368</v>
      </c>
      <c r="G16" s="141">
        <f>'FY20'!AB22</f>
        <v>1448863.8118256964</v>
      </c>
      <c r="H16" s="102"/>
    </row>
    <row r="17" spans="1:8">
      <c r="A17" s="165" t="s">
        <v>46</v>
      </c>
      <c r="B17" s="141">
        <v>41053995.820903264</v>
      </c>
      <c r="C17" s="141">
        <f>'FY 16'!AB23</f>
        <v>42177804.277409934</v>
      </c>
      <c r="D17" s="141">
        <f>'FY 17'!AB23</f>
        <v>43033629.817760229</v>
      </c>
      <c r="E17" s="141">
        <f>'FY18'!AB23</f>
        <v>43960581.379826955</v>
      </c>
      <c r="F17" s="141">
        <f>'FY19'!AB23</f>
        <v>45307476.62743561</v>
      </c>
      <c r="G17" s="141">
        <f>'FY20'!AB23</f>
        <v>46277456.80524978</v>
      </c>
      <c r="H17" s="102"/>
    </row>
    <row r="18" spans="1:8">
      <c r="A18" s="165" t="s">
        <v>47</v>
      </c>
      <c r="B18" s="141">
        <v>23242375.640375413</v>
      </c>
      <c r="C18" s="141">
        <f>'FY 16'!AB24</f>
        <v>24198621.888864048</v>
      </c>
      <c r="D18" s="141">
        <f>'FY 17'!AB24</f>
        <v>24647159.253612272</v>
      </c>
      <c r="E18" s="141">
        <f>'FY18'!AB24</f>
        <v>25127247.288533937</v>
      </c>
      <c r="F18" s="141">
        <f>'FY19'!AB24</f>
        <v>25567578.531495377</v>
      </c>
      <c r="G18" s="141">
        <f>'FY20'!AB24</f>
        <v>26069692.320405956</v>
      </c>
      <c r="H18" s="102"/>
    </row>
    <row r="19" spans="1:8">
      <c r="A19" s="165" t="s">
        <v>122</v>
      </c>
      <c r="B19" s="141">
        <v>537023177.96849132</v>
      </c>
      <c r="C19" s="141">
        <f>'FY 16'!AB25</f>
        <v>574434634.66800308</v>
      </c>
      <c r="D19" s="141">
        <f>'FY 17'!AB25</f>
        <v>585480845.99129426</v>
      </c>
      <c r="E19" s="141">
        <f>'FY18'!AB25</f>
        <v>597240901.85237527</v>
      </c>
      <c r="F19" s="141">
        <f>'FY19'!AB25</f>
        <v>609101428.19418037</v>
      </c>
      <c r="G19" s="141">
        <f>'FY20'!AB25</f>
        <v>621263354.46239424</v>
      </c>
      <c r="H19" s="102"/>
    </row>
    <row r="20" spans="1:8">
      <c r="A20" s="165" t="s">
        <v>48</v>
      </c>
      <c r="B20" s="141">
        <v>87621924.115436286</v>
      </c>
      <c r="C20" s="141">
        <f>'FY 16'!AB26</f>
        <v>89514097.731611609</v>
      </c>
      <c r="D20" s="141">
        <f>'FY 17'!AB26</f>
        <v>91340643.682856038</v>
      </c>
      <c r="E20" s="141">
        <f>'FY18'!AB26</f>
        <v>93302796.779647544</v>
      </c>
      <c r="F20" s="141">
        <f>'FY19'!AB26</f>
        <v>95799196.32112965</v>
      </c>
      <c r="G20" s="141">
        <f>'FY20'!AB26</f>
        <v>97858793.55956462</v>
      </c>
      <c r="H20" s="102"/>
    </row>
    <row r="21" spans="1:8">
      <c r="A21" s="165" t="s">
        <v>49</v>
      </c>
      <c r="B21" s="141">
        <v>38625979.515492029</v>
      </c>
      <c r="C21" s="141">
        <f>'FY 16'!AB27</f>
        <v>39618960.161204375</v>
      </c>
      <c r="D21" s="141">
        <f>'FY 17'!AB27</f>
        <v>40423482.756311916</v>
      </c>
      <c r="E21" s="141">
        <f>'FY18'!AB27</f>
        <v>41287627.702891149</v>
      </c>
      <c r="F21" s="141">
        <f>'FY19'!AB27</f>
        <v>42829879.586072549</v>
      </c>
      <c r="G21" s="141">
        <f>'FY20'!AB27</f>
        <v>43747989.500578135</v>
      </c>
      <c r="H21" s="102"/>
    </row>
    <row r="22" spans="1:8">
      <c r="A22" s="165" t="s">
        <v>50</v>
      </c>
      <c r="B22" s="141">
        <v>34721200.398984671</v>
      </c>
      <c r="C22" s="141">
        <f>'FY 16'!AB28</f>
        <v>35647051.484830305</v>
      </c>
      <c r="D22" s="141">
        <f>'FY 17'!AB28</f>
        <v>36359895.171649389</v>
      </c>
      <c r="E22" s="141">
        <f>'FY18'!AB28</f>
        <v>37123575.211839333</v>
      </c>
      <c r="F22" s="141">
        <f>'FY19'!AB28</f>
        <v>38031054.690721929</v>
      </c>
      <c r="G22" s="141">
        <f>'FY20'!AB28</f>
        <v>38833883.794732146</v>
      </c>
      <c r="H22" s="102"/>
    </row>
    <row r="23" spans="1:8">
      <c r="A23" s="165" t="s">
        <v>51</v>
      </c>
      <c r="B23" s="141">
        <v>51536662.564613424</v>
      </c>
      <c r="C23" s="141">
        <f>'FY 16'!AB29</f>
        <v>52622836.443279974</v>
      </c>
      <c r="D23" s="141">
        <f>'FY 17'!AB29</f>
        <v>53664547.378513411</v>
      </c>
      <c r="E23" s="141">
        <f>'FY18'!AB29</f>
        <v>54781804.785850167</v>
      </c>
      <c r="F23" s="141">
        <f>'FY19'!AB29</f>
        <v>55940230.85648483</v>
      </c>
      <c r="G23" s="141">
        <f>'FY20'!AB29</f>
        <v>57109858.905001223</v>
      </c>
      <c r="H23" s="102"/>
    </row>
    <row r="24" spans="1:8">
      <c r="A24" s="165" t="s">
        <v>52</v>
      </c>
      <c r="B24" s="141">
        <v>59629607.262254879</v>
      </c>
      <c r="C24" s="141">
        <f>'FY 16'!AB30</f>
        <v>61355353.926851243</v>
      </c>
      <c r="D24" s="141">
        <f>'FY 17'!AB30</f>
        <v>62580348.428796753</v>
      </c>
      <c r="E24" s="141">
        <f>'FY18'!AB30</f>
        <v>63890685.556158848</v>
      </c>
      <c r="F24" s="141">
        <f>'FY19'!AB30</f>
        <v>65058831.928013034</v>
      </c>
      <c r="G24" s="141">
        <f>'FY20'!AB30</f>
        <v>66425792.71953775</v>
      </c>
      <c r="H24" s="102"/>
    </row>
    <row r="25" spans="1:8">
      <c r="A25" s="165" t="s">
        <v>53</v>
      </c>
      <c r="B25" s="141">
        <v>30348164.891637016</v>
      </c>
      <c r="C25" s="141">
        <f>'FY 16'!AB31</f>
        <v>32222947.056293741</v>
      </c>
      <c r="D25" s="141">
        <f>'FY 17'!AB31</f>
        <v>32840133.18576847</v>
      </c>
      <c r="E25" s="141">
        <f>'FY18'!AB31</f>
        <v>33500527.081440516</v>
      </c>
      <c r="F25" s="141">
        <f>'FY19'!AB31</f>
        <v>34314921.306791015</v>
      </c>
      <c r="G25" s="141">
        <f>'FY20'!AB31</f>
        <v>35003493.465953894</v>
      </c>
      <c r="H25" s="102"/>
    </row>
    <row r="26" spans="1:8">
      <c r="A26" s="165" t="s">
        <v>54</v>
      </c>
      <c r="B26" s="141">
        <v>230324428.92788523</v>
      </c>
      <c r="C26" s="141">
        <f>'FY 16'!AB32</f>
        <v>240125309.96965632</v>
      </c>
      <c r="D26" s="141">
        <f>'FY 17'!AB32</f>
        <v>244171732.43294567</v>
      </c>
      <c r="E26" s="141">
        <f>'FY18'!AB32</f>
        <v>248283479.62869266</v>
      </c>
      <c r="F26" s="141">
        <f>'FY19'!AB32</f>
        <v>252138184.04410243</v>
      </c>
      <c r="G26" s="141">
        <f>'FY20'!AB32</f>
        <v>256597796.84533066</v>
      </c>
      <c r="H26" s="102"/>
    </row>
    <row r="27" spans="1:8">
      <c r="A27" s="165" t="s">
        <v>55</v>
      </c>
      <c r="B27" s="141">
        <v>339311760.67416304</v>
      </c>
      <c r="C27" s="141">
        <f>'FY 16'!AB33</f>
        <v>359729860.19137478</v>
      </c>
      <c r="D27" s="141">
        <f>'FY 17'!AB33</f>
        <v>365677023.71696919</v>
      </c>
      <c r="E27" s="141">
        <f>'FY18'!AB33</f>
        <v>371687458.03518051</v>
      </c>
      <c r="F27" s="141">
        <f>'FY19'!AB33</f>
        <v>377572975.24817157</v>
      </c>
      <c r="G27" s="141">
        <f>'FY20'!AB33</f>
        <v>384082885.71371228</v>
      </c>
      <c r="H27" s="102"/>
    </row>
    <row r="28" spans="1:8">
      <c r="A28" s="165" t="s">
        <v>56</v>
      </c>
      <c r="B28" s="141">
        <v>131602214.7955853</v>
      </c>
      <c r="C28" s="141">
        <f>'FY 16'!AB34</f>
        <v>133673157.06739219</v>
      </c>
      <c r="D28" s="141">
        <f>'FY 17'!AB34</f>
        <v>136425113.96464199</v>
      </c>
      <c r="E28" s="141">
        <f>'FY18'!AB34</f>
        <v>139382240.77399796</v>
      </c>
      <c r="F28" s="141">
        <f>'FY19'!AB34</f>
        <v>142597929.4681375</v>
      </c>
      <c r="G28" s="141">
        <f>'FY20'!AB34</f>
        <v>145691409.73857811</v>
      </c>
      <c r="H28" s="102"/>
    </row>
    <row r="29" spans="1:8">
      <c r="A29" s="165" t="s">
        <v>57</v>
      </c>
      <c r="B29" s="141">
        <v>101583604.72167662</v>
      </c>
      <c r="C29" s="141">
        <f>'FY 16'!AB35</f>
        <v>106375142.70109497</v>
      </c>
      <c r="D29" s="141">
        <f>'FY 17'!AB35</f>
        <v>108481379.33561546</v>
      </c>
      <c r="E29" s="141">
        <f>'FY18'!AB35</f>
        <v>110741154.38576448</v>
      </c>
      <c r="F29" s="141">
        <f>'FY19'!AB35</f>
        <v>113535596.36009161</v>
      </c>
      <c r="G29" s="141">
        <f>'FY20'!AB35</f>
        <v>115897694.32573393</v>
      </c>
      <c r="H29" s="102"/>
    </row>
    <row r="30" spans="1:8">
      <c r="A30" s="165" t="s">
        <v>58</v>
      </c>
      <c r="B30" s="141">
        <v>28244679.465637866</v>
      </c>
      <c r="C30" s="141">
        <f>'FY 16'!AB36</f>
        <v>29251669.701278284</v>
      </c>
      <c r="D30" s="141">
        <f>'FY 17'!AB36</f>
        <v>29815339.800403815</v>
      </c>
      <c r="E30" s="141">
        <f>'FY18'!AB36</f>
        <v>30417129.334767014</v>
      </c>
      <c r="F30" s="141">
        <f>'FY19'!AB36</f>
        <v>31135280.61798609</v>
      </c>
      <c r="G30" s="141">
        <f>'FY20'!AB36</f>
        <v>31769726.239279091</v>
      </c>
      <c r="H30" s="102"/>
    </row>
    <row r="31" spans="1:8">
      <c r="A31" s="165" t="s">
        <v>59</v>
      </c>
      <c r="B31" s="141">
        <v>94320943.120430261</v>
      </c>
      <c r="C31" s="141">
        <f>'FY 16'!AB37</f>
        <v>97989234.268071607</v>
      </c>
      <c r="D31" s="141">
        <f>'FY 17'!AB37</f>
        <v>99942314.975732416</v>
      </c>
      <c r="E31" s="141">
        <f>'FY18'!AB37</f>
        <v>102028634.32206221</v>
      </c>
      <c r="F31" s="141">
        <f>'FY19'!AB37</f>
        <v>104260944.30325586</v>
      </c>
      <c r="G31" s="141">
        <f>'FY20'!AB37</f>
        <v>106439218.8880281</v>
      </c>
      <c r="H31" s="102"/>
    </row>
    <row r="32" spans="1:8">
      <c r="A32" s="165" t="s">
        <v>123</v>
      </c>
      <c r="B32" s="141">
        <v>19129871.145465404</v>
      </c>
      <c r="C32" s="141">
        <f>'FY 16'!AB38</f>
        <v>20189160.344164267</v>
      </c>
      <c r="D32" s="141">
        <f>'FY 17'!AB38</f>
        <v>20547538.247560184</v>
      </c>
      <c r="E32" s="141">
        <f>'FY18'!AB38</f>
        <v>20930710.621854395</v>
      </c>
      <c r="F32" s="141">
        <f>'FY19'!AB38</f>
        <v>21513897.005967963</v>
      </c>
      <c r="G32" s="141">
        <f>'FY20'!AB38</f>
        <v>21920038.482544743</v>
      </c>
      <c r="H32" s="102"/>
    </row>
    <row r="33" spans="1:8">
      <c r="A33" s="165" t="s">
        <v>60</v>
      </c>
      <c r="B33" s="141">
        <v>811989.63611457823</v>
      </c>
      <c r="C33" s="141">
        <f>'FY 16'!AB39</f>
        <v>816885.49624256277</v>
      </c>
      <c r="D33" s="141">
        <f>'FY 17'!AB39</f>
        <v>823921.83483190881</v>
      </c>
      <c r="E33" s="141">
        <f>'FY18'!AB39</f>
        <v>831415.91507531935</v>
      </c>
      <c r="F33" s="141">
        <f>'FY19'!AB39</f>
        <v>839134.90588605974</v>
      </c>
      <c r="G33" s="141">
        <f>'FY20'!AB39</f>
        <v>847021.17048732308</v>
      </c>
      <c r="H33" s="102"/>
    </row>
    <row r="34" spans="1:8">
      <c r="A34" s="165" t="s">
        <v>61</v>
      </c>
      <c r="B34" s="141">
        <v>23591336.991966181</v>
      </c>
      <c r="C34" s="141">
        <f>'FY 16'!AB40</f>
        <v>24436766.21481451</v>
      </c>
      <c r="D34" s="141">
        <f>'FY 17'!AB40</f>
        <v>24902864.739297099</v>
      </c>
      <c r="E34" s="141">
        <f>'FY18'!AB40</f>
        <v>25401364.64451392</v>
      </c>
      <c r="F34" s="141">
        <f>'FY19'!AB40</f>
        <v>25867517.210315548</v>
      </c>
      <c r="G34" s="141">
        <f>'FY20'!AB40</f>
        <v>26389450.287593137</v>
      </c>
      <c r="H34" s="102"/>
    </row>
    <row r="35" spans="1:8">
      <c r="A35" s="165" t="s">
        <v>62</v>
      </c>
      <c r="B35" s="141">
        <v>57172865.618546136</v>
      </c>
      <c r="C35" s="141">
        <f>'FY 16'!AB41</f>
        <v>58568600.249422051</v>
      </c>
      <c r="D35" s="141">
        <f>'FY 17'!AB41</f>
        <v>59745129.789582118</v>
      </c>
      <c r="E35" s="141">
        <f>'FY18'!AB41</f>
        <v>61010635.805808403</v>
      </c>
      <c r="F35" s="141">
        <f>'FY19'!AB41</f>
        <v>62094163.957357243</v>
      </c>
      <c r="G35" s="141">
        <f>'FY20'!AB41</f>
        <v>63408582.946132541</v>
      </c>
      <c r="H35" s="102"/>
    </row>
    <row r="36" spans="1:8">
      <c r="A36" s="165" t="s">
        <v>63</v>
      </c>
      <c r="B36" s="141">
        <v>15671744.11582025</v>
      </c>
      <c r="C36" s="141">
        <f>'FY 16'!AB42</f>
        <v>16348700.828591164</v>
      </c>
      <c r="D36" s="141">
        <f>'FY 17'!AB42</f>
        <v>16655446.058711208</v>
      </c>
      <c r="E36" s="141">
        <f>'FY18'!AB42</f>
        <v>16984447.869417895</v>
      </c>
      <c r="F36" s="141">
        <f>'FY19'!AB42</f>
        <v>17279946.392393138</v>
      </c>
      <c r="G36" s="141">
        <f>'FY20'!AB42</f>
        <v>17623297.999534909</v>
      </c>
      <c r="H36" s="102"/>
    </row>
    <row r="37" spans="1:8">
      <c r="A37" s="165" t="s">
        <v>64</v>
      </c>
      <c r="B37" s="141">
        <v>573263437.00570142</v>
      </c>
      <c r="C37" s="141">
        <f>'FY 16'!AB43</f>
        <v>600206410.59638119</v>
      </c>
      <c r="D37" s="141">
        <f>'FY 17'!AB43</f>
        <v>610554099.4802779</v>
      </c>
      <c r="E37" s="141">
        <f>'FY18'!AB43</f>
        <v>621157489.68005419</v>
      </c>
      <c r="F37" s="141">
        <f>'FY19'!AB43</f>
        <v>630788783.46782494</v>
      </c>
      <c r="G37" s="141">
        <f>'FY20'!AB43</f>
        <v>642180358.99979198</v>
      </c>
      <c r="H37" s="102"/>
    </row>
    <row r="38" spans="1:8">
      <c r="A38" s="165" t="s">
        <v>65</v>
      </c>
      <c r="B38" s="141">
        <v>43810139.300064571</v>
      </c>
      <c r="C38" s="141">
        <f>'FY 16'!AB44</f>
        <v>45479143.656379335</v>
      </c>
      <c r="D38" s="141">
        <f>'FY 17'!AB44</f>
        <v>46375939.954116657</v>
      </c>
      <c r="E38" s="141">
        <f>'FY18'!AB44</f>
        <v>47339617.650971159</v>
      </c>
      <c r="F38" s="141">
        <f>'FY19'!AB44</f>
        <v>48338006.222127937</v>
      </c>
      <c r="G38" s="141">
        <f>'FY20'!AB44</f>
        <v>49341315.409297809</v>
      </c>
      <c r="H38" s="102"/>
    </row>
    <row r="39" spans="1:8">
      <c r="A39" s="165" t="s">
        <v>66</v>
      </c>
      <c r="B39" s="141">
        <v>1342157884.125746</v>
      </c>
      <c r="C39" s="141">
        <f>'FY 16'!AB45</f>
        <v>1444263279.4034612</v>
      </c>
      <c r="D39" s="141">
        <f>'FY 17'!AB45</f>
        <v>1470596038.041575</v>
      </c>
      <c r="E39" s="141">
        <f>'FY18'!AB45</f>
        <v>1498180728.615082</v>
      </c>
      <c r="F39" s="141">
        <f>'FY19'!AB45</f>
        <v>1523909155.5338607</v>
      </c>
      <c r="G39" s="141">
        <f>'FY20'!AB45</f>
        <v>1552716389.6444678</v>
      </c>
      <c r="H39" s="102"/>
    </row>
    <row r="40" spans="1:8">
      <c r="A40" s="165" t="s">
        <v>67</v>
      </c>
      <c r="B40" s="141">
        <v>114759872.95171516</v>
      </c>
      <c r="C40" s="141">
        <f>'FY 16'!AB46</f>
        <v>116782034.33839507</v>
      </c>
      <c r="D40" s="141">
        <f>'FY 17'!AB46</f>
        <v>119136874.37309074</v>
      </c>
      <c r="E40" s="141">
        <f>'FY18'!AB46</f>
        <v>121659719.16704394</v>
      </c>
      <c r="F40" s="141">
        <f>'FY19'!AB46</f>
        <v>124046200.45432372</v>
      </c>
      <c r="G40" s="141">
        <f>'FY20'!AB46</f>
        <v>126683974.80071297</v>
      </c>
      <c r="H40" s="102"/>
    </row>
    <row r="41" spans="1:8">
      <c r="A41" s="165" t="s">
        <v>68</v>
      </c>
      <c r="B41" s="141">
        <v>13689173.595636988</v>
      </c>
      <c r="C41" s="141">
        <f>'FY 16'!AB47</f>
        <v>14500491.85125538</v>
      </c>
      <c r="D41" s="141">
        <f>'FY 17'!AB47</f>
        <v>14754248.552811276</v>
      </c>
      <c r="E41" s="141">
        <f>'FY18'!AB47</f>
        <v>15025978.401385477</v>
      </c>
      <c r="F41" s="141">
        <f>'FY19'!AB47</f>
        <v>15536146.7108889</v>
      </c>
      <c r="G41" s="141">
        <f>'FY20'!AB47</f>
        <v>15826001.601152949</v>
      </c>
      <c r="H41" s="102"/>
    </row>
    <row r="42" spans="1:8">
      <c r="A42" s="165" t="s">
        <v>124</v>
      </c>
      <c r="B42" s="141">
        <v>174852835.74649885</v>
      </c>
      <c r="C42" s="141">
        <f>'FY 16'!AB48</f>
        <v>179927727.96618223</v>
      </c>
      <c r="D42" s="141">
        <f>'FY 17'!AB48</f>
        <v>183526137.20321724</v>
      </c>
      <c r="E42" s="141">
        <f>'FY18'!AB48</f>
        <v>187376239.63367149</v>
      </c>
      <c r="F42" s="141">
        <f>'FY19'!AB48</f>
        <v>190956910.89935344</v>
      </c>
      <c r="G42" s="141">
        <f>'FY20'!AB48</f>
        <v>194964160.17748317</v>
      </c>
      <c r="H42" s="102"/>
    </row>
    <row r="43" spans="1:8">
      <c r="A43" s="165" t="s">
        <v>69</v>
      </c>
      <c r="B43" s="141">
        <v>47171865.076667719</v>
      </c>
      <c r="C43" s="141">
        <f>'FY 16'!AB49</f>
        <v>49690521.213069811</v>
      </c>
      <c r="D43" s="141">
        <f>'FY 17'!AB49</f>
        <v>50502206.966230705</v>
      </c>
      <c r="E43" s="141">
        <f>'FY18'!AB49</f>
        <v>51368977.388422355</v>
      </c>
      <c r="F43" s="141">
        <f>'FY19'!AB49</f>
        <v>52170951.197703466</v>
      </c>
      <c r="G43" s="141">
        <f>'FY20'!AB49</f>
        <v>53079552.612245418</v>
      </c>
      <c r="H43" s="102"/>
    </row>
    <row r="44" spans="1:8">
      <c r="A44" s="165" t="s">
        <v>70</v>
      </c>
      <c r="B44" s="141">
        <v>93960862.60211499</v>
      </c>
      <c r="C44" s="141">
        <f>'FY 16'!AB50</f>
        <v>98155573.74370563</v>
      </c>
      <c r="D44" s="141">
        <f>'FY 17'!AB50</f>
        <v>100089189.44197728</v>
      </c>
      <c r="E44" s="141">
        <f>'FY18'!AB50</f>
        <v>102160155.1926446</v>
      </c>
      <c r="F44" s="141">
        <f>'FY19'!AB50</f>
        <v>104230003.00158675</v>
      </c>
      <c r="G44" s="141">
        <f>'FY20'!AB50</f>
        <v>106381040.42490412</v>
      </c>
      <c r="H44" s="102"/>
    </row>
    <row r="45" spans="1:8">
      <c r="A45" s="165" t="s">
        <v>71</v>
      </c>
      <c r="B45" s="141">
        <v>387365824.90586275</v>
      </c>
      <c r="C45" s="141">
        <f>'FY 16'!AB51</f>
        <v>413084497.87512583</v>
      </c>
      <c r="D45" s="141">
        <f>'FY 17'!AB51</f>
        <v>420935821.84781086</v>
      </c>
      <c r="E45" s="141">
        <f>'FY18'!AB51</f>
        <v>429280565.87474912</v>
      </c>
      <c r="F45" s="141">
        <f>'FY19'!AB51</f>
        <v>438670071.41310799</v>
      </c>
      <c r="G45" s="141">
        <f>'FY20'!AB51</f>
        <v>447340759.94893396</v>
      </c>
      <c r="H45" s="102"/>
    </row>
    <row r="46" spans="1:8">
      <c r="A46" s="165" t="s">
        <v>72</v>
      </c>
      <c r="B46" s="141">
        <v>67260622.84324491</v>
      </c>
      <c r="C46" s="141">
        <f>'FY 16'!AB52</f>
        <v>68960340.245719954</v>
      </c>
      <c r="D46" s="141">
        <f>'FY 17'!AB52</f>
        <v>70403090.988546282</v>
      </c>
      <c r="E46" s="141">
        <f>'FY18'!AB52</f>
        <v>71970085.569306597</v>
      </c>
      <c r="F46" s="141">
        <f>'FY19'!AB52</f>
        <v>74078304.46472393</v>
      </c>
      <c r="G46" s="141">
        <f>'FY20'!AB52</f>
        <v>75705728.840453058</v>
      </c>
      <c r="H46" s="102"/>
    </row>
    <row r="47" spans="1:8">
      <c r="A47" s="165" t="s">
        <v>125</v>
      </c>
      <c r="B47" s="141">
        <v>36370776.718488581</v>
      </c>
      <c r="C47" s="141">
        <f>'FY 16'!AB53</f>
        <v>37669482.757191494</v>
      </c>
      <c r="D47" s="141">
        <f>'FY 17'!AB53</f>
        <v>38224247.935255267</v>
      </c>
      <c r="E47" s="141">
        <f>'FY18'!AB53</f>
        <v>38764677.655161589</v>
      </c>
      <c r="F47" s="141">
        <f>'FY19'!AB53</f>
        <v>39263150.977759883</v>
      </c>
      <c r="G47" s="141">
        <f>'FY20'!AB53</f>
        <v>39875751.960125908</v>
      </c>
      <c r="H47" s="102"/>
    </row>
    <row r="48" spans="1:8">
      <c r="A48" s="165" t="s">
        <v>73</v>
      </c>
      <c r="B48" s="141">
        <v>46830050.116782852</v>
      </c>
      <c r="C48" s="141">
        <f>'FY 16'!AB54</f>
        <v>47871638.051981233</v>
      </c>
      <c r="D48" s="141">
        <f>'FY 17'!AB54</f>
        <v>48819577.964532018</v>
      </c>
      <c r="E48" s="141">
        <f>'FY18'!AB54</f>
        <v>49830587.344048426</v>
      </c>
      <c r="F48" s="141">
        <f>'FY19'!AB54</f>
        <v>50819486.295962915</v>
      </c>
      <c r="G48" s="141">
        <f>'FY20'!AB54</f>
        <v>51881824.299382262</v>
      </c>
      <c r="H48" s="102"/>
    </row>
    <row r="49" spans="1:8">
      <c r="A49" s="165" t="s">
        <v>74</v>
      </c>
      <c r="B49" s="141">
        <v>15500615.732969012</v>
      </c>
      <c r="C49" s="141">
        <f>'FY 16'!AB55</f>
        <v>16615356.960404852</v>
      </c>
      <c r="D49" s="141">
        <f>'FY 17'!AB55</f>
        <v>16877302.566149879</v>
      </c>
      <c r="E49" s="141">
        <f>'FY18'!AB55</f>
        <v>17157454.370418023</v>
      </c>
      <c r="F49" s="141">
        <f>'FY19'!AB55</f>
        <v>17499310.695344701</v>
      </c>
      <c r="G49" s="141">
        <f>'FY20'!AB55</f>
        <v>17794270.558667641</v>
      </c>
      <c r="H49" s="102"/>
    </row>
    <row r="50" spans="1:8">
      <c r="A50" s="165" t="s">
        <v>75</v>
      </c>
      <c r="B50" s="141">
        <v>85414173.837452203</v>
      </c>
      <c r="C50" s="141">
        <f>'FY 16'!AB56</f>
        <v>87455463.32545568</v>
      </c>
      <c r="D50" s="141">
        <f>'FY 17'!AB56</f>
        <v>89210411.091542244</v>
      </c>
      <c r="E50" s="141">
        <f>'FY18'!AB56</f>
        <v>91091849.953660205</v>
      </c>
      <c r="F50" s="141">
        <f>'FY19'!AB56</f>
        <v>92833518.780471668</v>
      </c>
      <c r="G50" s="141">
        <f>'FY20'!AB56</f>
        <v>94795606.128691718</v>
      </c>
      <c r="H50" s="102"/>
    </row>
    <row r="51" spans="1:8">
      <c r="A51" s="165" t="s">
        <v>76</v>
      </c>
      <c r="B51" s="141">
        <v>415592412.47129476</v>
      </c>
      <c r="C51" s="141">
        <f>'FY 16'!AB57</f>
        <v>418547078.95538044</v>
      </c>
      <c r="D51" s="141">
        <f>'FY 17'!AB57</f>
        <v>427069294.9876368</v>
      </c>
      <c r="E51" s="141">
        <f>'FY18'!AB57</f>
        <v>436204251.26860529</v>
      </c>
      <c r="F51" s="141">
        <f>'FY19'!AB57</f>
        <v>444293603.54251122</v>
      </c>
      <c r="G51" s="141">
        <f>'FY20'!AB57</f>
        <v>453806214.95658183</v>
      </c>
      <c r="H51" s="102"/>
    </row>
    <row r="52" spans="1:8">
      <c r="A52" s="165" t="s">
        <v>77</v>
      </c>
      <c r="B52" s="141">
        <v>70692670.568050548</v>
      </c>
      <c r="C52" s="141">
        <f>'FY 16'!AB58</f>
        <v>72409920.769781977</v>
      </c>
      <c r="D52" s="141">
        <f>'FY 17'!AB58</f>
        <v>73855775.147505239</v>
      </c>
      <c r="E52" s="141">
        <f>'FY18'!AB58</f>
        <v>75411205.191983923</v>
      </c>
      <c r="F52" s="141">
        <f>'FY19'!AB58</f>
        <v>76951916.009535119</v>
      </c>
      <c r="G52" s="141">
        <f>'FY20'!AB58</f>
        <v>78567470.078615442</v>
      </c>
      <c r="H52" s="102"/>
    </row>
    <row r="53" spans="1:8">
      <c r="A53" s="165" t="s">
        <v>126</v>
      </c>
      <c r="B53" s="141">
        <v>8370585.2369895615</v>
      </c>
      <c r="C53" s="141">
        <f>'FY 16'!AB59</f>
        <v>8993578.6904853843</v>
      </c>
      <c r="D53" s="141">
        <f>'FY 17'!AB59</f>
        <v>9149648.9689751286</v>
      </c>
      <c r="E53" s="141">
        <f>'FY18'!AB59</f>
        <v>9316920.1723716855</v>
      </c>
      <c r="F53" s="141">
        <f>'FY19'!AB59</f>
        <v>9830307.1723028962</v>
      </c>
      <c r="G53" s="141">
        <f>'FY20'!AB59</f>
        <v>10013036.70063528</v>
      </c>
      <c r="H53" s="102"/>
    </row>
    <row r="54" spans="1:8">
      <c r="A54" s="165" t="s">
        <v>127</v>
      </c>
      <c r="B54" s="141">
        <v>1843783.1673340281</v>
      </c>
      <c r="C54" s="141">
        <f>'FY 16'!AB60</f>
        <v>1858439.716014713</v>
      </c>
      <c r="D54" s="141">
        <f>'FY 17'!AB60</f>
        <v>1887737.6343199885</v>
      </c>
      <c r="E54" s="141">
        <f>'FY18'!AB60</f>
        <v>1919754.4637580905</v>
      </c>
      <c r="F54" s="141">
        <f>'FY19'!AB60</f>
        <v>1946186.4762567002</v>
      </c>
      <c r="G54" s="141">
        <f>'FY20'!AB60</f>
        <v>1979037.6568968426</v>
      </c>
      <c r="H54" s="102"/>
    </row>
    <row r="55" spans="1:8">
      <c r="A55" s="165" t="s">
        <v>78</v>
      </c>
      <c r="B55" s="141">
        <v>161234228.21724939</v>
      </c>
      <c r="C55" s="141">
        <f>'FY 16'!AB61</f>
        <v>164111815.60367256</v>
      </c>
      <c r="D55" s="141">
        <f>'FY 17'!AB61</f>
        <v>167491646.67275739</v>
      </c>
      <c r="E55" s="141">
        <f>'FY18'!AB61</f>
        <v>171144995.0398472</v>
      </c>
      <c r="F55" s="141">
        <f>'FY19'!AB61</f>
        <v>175630030.4945429</v>
      </c>
      <c r="G55" s="141">
        <f>'FY20'!AB61</f>
        <v>179443568.218155</v>
      </c>
      <c r="H55" s="102"/>
    </row>
    <row r="56" spans="1:8">
      <c r="A56" s="165" t="s">
        <v>79</v>
      </c>
      <c r="B56" s="141">
        <v>231768948.02926096</v>
      </c>
      <c r="C56" s="141">
        <f>'FY 16'!AB62</f>
        <v>244940420.42540699</v>
      </c>
      <c r="D56" s="141">
        <f>'FY 17'!AB62</f>
        <v>249771732.84348354</v>
      </c>
      <c r="E56" s="141">
        <f>'FY18'!AB62</f>
        <v>254951297.11048159</v>
      </c>
      <c r="F56" s="141">
        <f>'FY19'!AB62</f>
        <v>261144863.45397824</v>
      </c>
      <c r="G56" s="141">
        <f>'FY20'!AB62</f>
        <v>266532075.04316986</v>
      </c>
      <c r="H56" s="102"/>
    </row>
    <row r="57" spans="1:8">
      <c r="A57" s="165" t="s">
        <v>80</v>
      </c>
      <c r="B57" s="141">
        <v>24824408.331554729</v>
      </c>
      <c r="C57" s="141">
        <f>'FY 16'!AB63</f>
        <v>25763816.358421814</v>
      </c>
      <c r="D57" s="141">
        <f>'FY 17'!AB63</f>
        <v>26230109.971223112</v>
      </c>
      <c r="E57" s="141">
        <f>'FY18'!AB63</f>
        <v>26729734.432280328</v>
      </c>
      <c r="F57" s="141">
        <f>'FY19'!AB63</f>
        <v>27796755.972676832</v>
      </c>
      <c r="G57" s="141">
        <f>'FY20'!AB63</f>
        <v>28331741.894791488</v>
      </c>
      <c r="H57" s="102"/>
    </row>
    <row r="58" spans="1:8">
      <c r="A58" s="165" t="s">
        <v>128</v>
      </c>
      <c r="B58" s="141">
        <v>80216786.922118753</v>
      </c>
      <c r="C58" s="141">
        <f>'FY 16'!AB64</f>
        <v>82142223.016752005</v>
      </c>
      <c r="D58" s="141">
        <f>'FY 17'!AB64</f>
        <v>83785698.587795585</v>
      </c>
      <c r="E58" s="141">
        <f>'FY18'!AB64</f>
        <v>85552785.853594393</v>
      </c>
      <c r="F58" s="141">
        <f>'FY19'!AB64</f>
        <v>88028302.831771001</v>
      </c>
      <c r="G58" s="141">
        <f>'FY20'!AB64</f>
        <v>89887719.133785605</v>
      </c>
      <c r="H58" s="102"/>
    </row>
    <row r="59" spans="1:8">
      <c r="A59" s="165" t="s">
        <v>133</v>
      </c>
      <c r="B59" s="141">
        <v>10937600.008741822</v>
      </c>
      <c r="C59" s="141">
        <f>'FY 16'!AB65</f>
        <v>11597917.061335448</v>
      </c>
      <c r="D59" s="141">
        <f>'FY 17'!AB65</f>
        <v>11808488.995035727</v>
      </c>
      <c r="E59" s="141">
        <f>'FY18'!AB65</f>
        <v>12033228.332627222</v>
      </c>
      <c r="F59" s="141">
        <f>'FY19'!AB65</f>
        <v>12253695.27167026</v>
      </c>
      <c r="G59" s="141">
        <f>'FY20'!AB65</f>
        <v>12489440.694703674</v>
      </c>
      <c r="H59" s="102"/>
    </row>
    <row r="60" spans="1:8">
      <c r="A60" s="165" t="s">
        <v>106</v>
      </c>
      <c r="B60" s="141">
        <v>0</v>
      </c>
      <c r="C60" s="141">
        <v>0</v>
      </c>
      <c r="D60" s="141">
        <f>'FY 17'!AB66</f>
        <v>0</v>
      </c>
      <c r="E60" s="141">
        <v>0</v>
      </c>
      <c r="F60" s="141">
        <f>'FY19'!AB66</f>
        <v>0</v>
      </c>
      <c r="G60" s="141">
        <f>'FY20'!AB66</f>
        <v>0</v>
      </c>
    </row>
    <row r="61" spans="1:8" s="83" customFormat="1">
      <c r="A61" s="174" t="s">
        <v>107</v>
      </c>
      <c r="B61" s="175">
        <v>8482130936.1893997</v>
      </c>
      <c r="C61" s="175">
        <f t="shared" ref="C61:F61" si="0">SUM(C4:C60)</f>
        <v>8917346291.25</v>
      </c>
      <c r="D61" s="175">
        <f t="shared" si="0"/>
        <v>9086420166.9759998</v>
      </c>
      <c r="E61" s="175">
        <f t="shared" si="0"/>
        <v>9265382534.6852245</v>
      </c>
      <c r="F61" s="175">
        <f t="shared" si="0"/>
        <v>9449037069.6857433</v>
      </c>
      <c r="G61" s="175">
        <f>SUM(G4:G60)</f>
        <v>9636406049.223053</v>
      </c>
    </row>
    <row r="62" spans="1:8">
      <c r="A62" s="166" t="s">
        <v>197</v>
      </c>
      <c r="B62" s="141">
        <v>54195663.875</v>
      </c>
      <c r="C62" s="141">
        <f>'FY 16'!AB68</f>
        <v>69398479.75</v>
      </c>
      <c r="D62" s="141">
        <f>'FY 17'!AB68</f>
        <v>70788810.808999985</v>
      </c>
      <c r="E62" s="141">
        <f>'FY18'!AB68</f>
        <v>72269968.710988984</v>
      </c>
      <c r="F62" s="141">
        <f>'FY19'!AB68</f>
        <v>73805014.029361963</v>
      </c>
      <c r="G62" s="141">
        <f>'FY20'!AB68</f>
        <v>75378335.605116874</v>
      </c>
    </row>
    <row r="63" spans="1:8">
      <c r="A63" s="166"/>
      <c r="B63" s="141">
        <v>0</v>
      </c>
      <c r="C63" s="141">
        <v>0</v>
      </c>
      <c r="D63" s="141">
        <v>0</v>
      </c>
      <c r="E63" s="141">
        <v>0</v>
      </c>
      <c r="F63" s="141">
        <v>0</v>
      </c>
      <c r="G63" s="141">
        <v>0</v>
      </c>
    </row>
    <row r="64" spans="1:8" s="83" customFormat="1">
      <c r="A64" s="167" t="s">
        <v>200</v>
      </c>
      <c r="B64" s="173">
        <f>B61+B62</f>
        <v>8536326600.0643997</v>
      </c>
      <c r="C64" s="173">
        <f t="shared" ref="C64:G64" si="1">C61+C62</f>
        <v>8986744771</v>
      </c>
      <c r="D64" s="173">
        <f t="shared" si="1"/>
        <v>9157208977.7849998</v>
      </c>
      <c r="E64" s="173">
        <f t="shared" si="1"/>
        <v>9337652503.3962135</v>
      </c>
      <c r="F64" s="173">
        <f t="shared" si="1"/>
        <v>9522842083.7151051</v>
      </c>
      <c r="G64" s="173">
        <f t="shared" si="1"/>
        <v>9711784384.8281708</v>
      </c>
    </row>
    <row r="65" spans="1:8" s="83" customFormat="1">
      <c r="A65" s="176"/>
      <c r="B65" s="177"/>
      <c r="C65" s="177"/>
      <c r="D65" s="177"/>
      <c r="E65" s="177"/>
      <c r="F65" s="177"/>
      <c r="G65" s="177"/>
    </row>
    <row r="66" spans="1:8">
      <c r="A66" s="168" t="s">
        <v>109</v>
      </c>
      <c r="B66" s="273">
        <v>30000000</v>
      </c>
      <c r="C66" s="273">
        <f>'Program Totals'!D13</f>
        <v>30000000</v>
      </c>
      <c r="D66" s="273">
        <f>'Program Totals'!F13</f>
        <v>30000000</v>
      </c>
      <c r="E66" s="273">
        <f>'Program Totals'!H13</f>
        <v>30000000</v>
      </c>
      <c r="F66" s="273">
        <f>'Program Totals'!J13</f>
        <v>30000000</v>
      </c>
      <c r="G66" s="273">
        <f>'Program Totals'!L13</f>
        <v>30000000</v>
      </c>
    </row>
    <row r="67" spans="1:8">
      <c r="A67" s="169" t="s">
        <v>158</v>
      </c>
      <c r="B67" s="273">
        <v>5000000</v>
      </c>
      <c r="C67" s="273">
        <f>'Program Totals'!D20</f>
        <v>5000000</v>
      </c>
      <c r="D67" s="273">
        <f>'Program Totals'!F20</f>
        <v>5000000</v>
      </c>
      <c r="E67" s="273">
        <f>'Program Totals'!H20</f>
        <v>5000000</v>
      </c>
      <c r="F67" s="273">
        <f>'Program Totals'!J20</f>
        <v>5000000</v>
      </c>
      <c r="G67" s="273">
        <f>'Program Totals'!L20</f>
        <v>5000000</v>
      </c>
    </row>
    <row r="68" spans="1:8" s="71" customFormat="1">
      <c r="A68" s="170" t="s">
        <v>159</v>
      </c>
      <c r="B68" s="274">
        <v>1823400</v>
      </c>
      <c r="C68" s="275">
        <f>'Program Totals'!D22</f>
        <v>1859868</v>
      </c>
      <c r="D68" s="275">
        <f>'Program Totals'!F22</f>
        <v>1897065.3599999999</v>
      </c>
      <c r="E68" s="275">
        <f>'Program Totals'!H22</f>
        <v>1936903.7325599999</v>
      </c>
      <c r="F68" s="275">
        <f>'Program Totals'!J22</f>
        <v>1977966.0916902719</v>
      </c>
      <c r="G68" s="275">
        <f>'Program Totals'!L22</f>
        <v>2019898.9728341061</v>
      </c>
    </row>
    <row r="69" spans="1:8" s="71" customFormat="1">
      <c r="A69" s="170" t="s">
        <v>243</v>
      </c>
      <c r="B69" s="274">
        <v>0</v>
      </c>
      <c r="C69" s="274">
        <f>'Program Totals'!D43</f>
        <v>268000000</v>
      </c>
      <c r="D69" s="274">
        <f>'Program Totals'!F43</f>
        <v>283600000</v>
      </c>
      <c r="E69" s="274">
        <f>'Program Totals'!H43</f>
        <v>301514000</v>
      </c>
      <c r="F69" s="274">
        <f>'Program Totals'!J43</f>
        <v>322059980</v>
      </c>
      <c r="G69" s="274">
        <f>'Program Totals'!L43</f>
        <v>344044178.60000002</v>
      </c>
    </row>
    <row r="70" spans="1:8" s="71" customFormat="1">
      <c r="A70" s="170" t="s">
        <v>147</v>
      </c>
      <c r="B70" s="274"/>
      <c r="C70" s="274">
        <f>'Program Totals'!D16</f>
        <v>2000000</v>
      </c>
      <c r="D70" s="274">
        <f>'Program Totals'!F16</f>
        <v>3000000</v>
      </c>
      <c r="E70" s="274">
        <f>'Program Totals'!H16</f>
        <v>3250000</v>
      </c>
      <c r="F70" s="274">
        <f>'Program Totals'!J16</f>
        <v>3500000</v>
      </c>
      <c r="G70" s="274">
        <f>'Program Totals'!L16</f>
        <v>3500000</v>
      </c>
    </row>
    <row r="71" spans="1:8" s="71" customFormat="1">
      <c r="A71" s="170" t="s">
        <v>244</v>
      </c>
      <c r="B71" s="274"/>
      <c r="C71" s="276">
        <f>'Program Totals'!D24</f>
        <v>20000000</v>
      </c>
      <c r="D71" s="276">
        <f>'Program Totals'!F24</f>
        <v>20000000</v>
      </c>
      <c r="E71" s="276">
        <f>'Program Totals'!H24</f>
        <v>20000000</v>
      </c>
      <c r="F71" s="276">
        <f>'Program Totals'!J24</f>
        <v>20000000</v>
      </c>
      <c r="G71" s="276">
        <f>'Program Totals'!L24</f>
        <v>20000000</v>
      </c>
    </row>
    <row r="72" spans="1:8" s="71" customFormat="1">
      <c r="A72" s="170" t="s">
        <v>142</v>
      </c>
      <c r="B72" s="274"/>
      <c r="C72" s="276">
        <f>'Program Totals'!D29</f>
        <v>3000000</v>
      </c>
      <c r="D72" s="276">
        <f>'Program Totals'!F29</f>
        <v>3000000</v>
      </c>
      <c r="E72" s="276">
        <f>'Program Totals'!H29</f>
        <v>3000000</v>
      </c>
      <c r="F72" s="276">
        <f>'Program Totals'!J29</f>
        <v>3000000</v>
      </c>
      <c r="G72" s="276">
        <f>'Program Totals'!L29</f>
        <v>3000000</v>
      </c>
    </row>
    <row r="73" spans="1:8" s="71" customFormat="1">
      <c r="A73" s="170" t="s">
        <v>245</v>
      </c>
      <c r="B73" s="274"/>
      <c r="C73" s="276">
        <f>'Program Totals'!D30</f>
        <v>5000000</v>
      </c>
      <c r="D73" s="276">
        <f>'Program Totals'!F30</f>
        <v>5000000</v>
      </c>
      <c r="E73" s="276">
        <f>'Program Totals'!H30</f>
        <v>5000000</v>
      </c>
      <c r="F73" s="276">
        <f>'Program Totals'!J30</f>
        <v>5000000</v>
      </c>
      <c r="G73" s="276">
        <f>'Program Totals'!L30</f>
        <v>5000000</v>
      </c>
    </row>
    <row r="74" spans="1:8" s="71" customFormat="1">
      <c r="A74" s="170" t="s">
        <v>195</v>
      </c>
      <c r="B74" s="274">
        <v>10000000</v>
      </c>
      <c r="C74" s="274">
        <f>'Program Totals'!D7</f>
        <v>10000000</v>
      </c>
      <c r="D74" s="274">
        <f>'Program Totals'!F7</f>
        <v>10000000</v>
      </c>
      <c r="E74" s="274">
        <f>'Program Totals'!H7</f>
        <v>10000000</v>
      </c>
      <c r="F74" s="274">
        <f>'Program Totals'!J7</f>
        <v>10000000</v>
      </c>
      <c r="G74" s="274">
        <f>'Program Totals'!L7</f>
        <v>10000000</v>
      </c>
    </row>
    <row r="75" spans="1:8" s="71" customFormat="1">
      <c r="A75" s="170" t="s">
        <v>12</v>
      </c>
      <c r="B75" s="275">
        <v>3850000</v>
      </c>
      <c r="C75" s="275">
        <f>'Program Totals'!D35</f>
        <v>4000000</v>
      </c>
      <c r="D75" s="275">
        <f>'Program Totals'!F35</f>
        <v>4000000</v>
      </c>
      <c r="E75" s="275">
        <f>'Program Totals'!H35</f>
        <v>4000000</v>
      </c>
      <c r="F75" s="275">
        <f>'Program Totals'!J35</f>
        <v>4000000</v>
      </c>
      <c r="G75" s="275">
        <f>'Program Totals'!L35</f>
        <v>4000000</v>
      </c>
      <c r="H75" s="70"/>
    </row>
    <row r="76" spans="1:8" s="71" customFormat="1">
      <c r="A76" s="170" t="s">
        <v>22</v>
      </c>
      <c r="B76" s="275">
        <v>5000000</v>
      </c>
      <c r="C76" s="275">
        <f>'Program Totals'!D33</f>
        <v>9000000</v>
      </c>
      <c r="D76" s="275">
        <f>'Program Totals'!F33</f>
        <v>9000000</v>
      </c>
      <c r="E76" s="275">
        <f>'Program Totals'!H33</f>
        <v>9000000</v>
      </c>
      <c r="F76" s="275">
        <f>'Program Totals'!J33</f>
        <v>9000000</v>
      </c>
      <c r="G76" s="275">
        <f>'Program Totals'!L33</f>
        <v>9000000</v>
      </c>
      <c r="H76" s="70"/>
    </row>
    <row r="77" spans="1:8" s="71" customFormat="1">
      <c r="A77" s="170" t="s">
        <v>196</v>
      </c>
      <c r="B77" s="274">
        <v>3000000</v>
      </c>
      <c r="C77" s="274">
        <f>'Program Totals'!D32</f>
        <v>3000000</v>
      </c>
      <c r="D77" s="274">
        <f>'Program Totals'!F32</f>
        <v>3000000</v>
      </c>
      <c r="E77" s="274">
        <f>'Program Totals'!H32</f>
        <v>3000000</v>
      </c>
      <c r="F77" s="274">
        <f>'Program Totals'!J32</f>
        <v>3000000</v>
      </c>
      <c r="G77" s="274">
        <f>'Program Totals'!L32</f>
        <v>3000000</v>
      </c>
    </row>
    <row r="78" spans="1:8" s="71" customFormat="1">
      <c r="A78" s="170" t="s">
        <v>248</v>
      </c>
      <c r="B78" s="274"/>
      <c r="C78" s="274"/>
      <c r="D78" s="274">
        <f>'Program Totals'!F48</f>
        <v>199000000</v>
      </c>
      <c r="E78" s="274"/>
      <c r="F78" s="274"/>
      <c r="G78" s="274"/>
    </row>
    <row r="79" spans="1:8" s="83" customFormat="1">
      <c r="A79" s="171" t="s">
        <v>201</v>
      </c>
      <c r="B79" s="173">
        <f>B64+SUM(B66:B77)</f>
        <v>8595000000.0643997</v>
      </c>
      <c r="C79" s="173">
        <f t="shared" ref="C79:F79" si="2">SUM(C64:C78)</f>
        <v>9347604639</v>
      </c>
      <c r="D79" s="173">
        <f t="shared" si="2"/>
        <v>9733706043.1450005</v>
      </c>
      <c r="E79" s="173">
        <f t="shared" si="2"/>
        <v>9733353407.1287727</v>
      </c>
      <c r="F79" s="173">
        <f t="shared" si="2"/>
        <v>9939380029.8067951</v>
      </c>
      <c r="G79" s="173">
        <f>SUM(G64:G78)</f>
        <v>10150348462.401005</v>
      </c>
    </row>
    <row r="80" spans="1:8" hidden="1">
      <c r="A80" s="172" t="s">
        <v>171</v>
      </c>
      <c r="B80" s="141">
        <v>8595000000.0643997</v>
      </c>
      <c r="C80" s="141">
        <v>8723564000</v>
      </c>
      <c r="D80" s="141">
        <v>8879211000</v>
      </c>
      <c r="E80" s="141">
        <v>9059459000</v>
      </c>
      <c r="F80" s="141">
        <v>9240647000</v>
      </c>
      <c r="G80" s="141">
        <v>9617580000</v>
      </c>
    </row>
    <row r="81" spans="1:7" hidden="1">
      <c r="A81" s="172" t="s">
        <v>199</v>
      </c>
      <c r="B81" s="141">
        <v>0</v>
      </c>
      <c r="C81" s="141">
        <f t="shared" ref="C81:G81" si="3">C79-C80</f>
        <v>624040639</v>
      </c>
      <c r="D81" s="141">
        <f t="shared" si="3"/>
        <v>854495043.14500046</v>
      </c>
      <c r="E81" s="141">
        <f t="shared" si="3"/>
        <v>673894407.12877274</v>
      </c>
      <c r="F81" s="141">
        <f t="shared" si="3"/>
        <v>698733029.80679512</v>
      </c>
      <c r="G81" s="141">
        <f t="shared" si="3"/>
        <v>532768462.40100479</v>
      </c>
    </row>
    <row r="82" spans="1:7" hidden="1">
      <c r="B82" s="102">
        <f>'Program Totals'!C4</f>
        <v>8595000000</v>
      </c>
      <c r="C82" s="102">
        <f>'Program Totals'!D4</f>
        <v>9347604639</v>
      </c>
      <c r="D82" s="102">
        <f>'Program Totals'!F4</f>
        <v>9733706043.1449986</v>
      </c>
      <c r="E82" s="102">
        <f>'Program Totals'!H4</f>
        <v>9733353407.1287727</v>
      </c>
      <c r="F82" s="102">
        <f>'Program Totals'!J4</f>
        <v>9939380029.8067932</v>
      </c>
      <c r="G82" s="102">
        <f>'Program Totals'!L4</f>
        <v>10150348462.401009</v>
      </c>
    </row>
    <row r="83" spans="1:7">
      <c r="B83" s="102"/>
      <c r="C83" s="102"/>
      <c r="D83" s="102"/>
      <c r="E83" s="102"/>
      <c r="F83" s="102"/>
      <c r="G83" s="102"/>
    </row>
    <row r="84" spans="1:7">
      <c r="A84" s="138" t="s">
        <v>177</v>
      </c>
      <c r="B84" s="102"/>
      <c r="C84" s="102"/>
      <c r="D84" s="102"/>
      <c r="E84" s="102"/>
      <c r="F84" s="102"/>
      <c r="G84" s="102"/>
    </row>
    <row r="85" spans="1:7">
      <c r="B85" s="102"/>
      <c r="C85" s="102"/>
      <c r="D85" s="102"/>
      <c r="E85" s="102"/>
      <c r="F85" s="102"/>
      <c r="G85" s="102"/>
    </row>
    <row r="86" spans="1:7">
      <c r="B86" s="102"/>
      <c r="C86" s="102"/>
      <c r="D86" s="102"/>
      <c r="E86" s="102"/>
      <c r="F86" s="102"/>
      <c r="G86" s="102"/>
    </row>
    <row r="87" spans="1:7">
      <c r="B87" s="102"/>
      <c r="C87" s="102"/>
      <c r="D87" s="102"/>
      <c r="E87" s="102"/>
      <c r="F87" s="102"/>
      <c r="G87" s="102"/>
    </row>
    <row r="88" spans="1:7">
      <c r="B88" s="102"/>
      <c r="C88" s="102"/>
      <c r="D88" s="102"/>
      <c r="E88" s="102"/>
      <c r="F88" s="102"/>
      <c r="G88" s="102"/>
    </row>
    <row r="89" spans="1:7">
      <c r="B89" s="102"/>
      <c r="C89" s="102"/>
      <c r="D89" s="102"/>
      <c r="E89" s="102"/>
      <c r="F89" s="102"/>
      <c r="G89" s="102"/>
    </row>
    <row r="90" spans="1:7">
      <c r="B90" s="102"/>
      <c r="C90" s="102"/>
      <c r="D90" s="102"/>
      <c r="E90" s="102"/>
      <c r="F90" s="102"/>
      <c r="G90" s="102"/>
    </row>
    <row r="91" spans="1:7">
      <c r="B91" s="102"/>
      <c r="C91" s="102"/>
      <c r="D91" s="102"/>
      <c r="E91" s="102"/>
      <c r="F91" s="102"/>
      <c r="G91" s="102"/>
    </row>
    <row r="92" spans="1:7">
      <c r="B92" s="102"/>
      <c r="C92" s="102"/>
      <c r="D92" s="102"/>
      <c r="E92" s="102"/>
      <c r="F92" s="102"/>
      <c r="G92" s="102"/>
    </row>
    <row r="93" spans="1:7">
      <c r="B93" s="102"/>
      <c r="C93" s="102"/>
      <c r="D93" s="102"/>
      <c r="E93" s="102"/>
      <c r="F93" s="102"/>
      <c r="G93" s="102"/>
    </row>
    <row r="94" spans="1:7">
      <c r="C94" s="102"/>
      <c r="D94" s="102"/>
      <c r="E94" s="102"/>
      <c r="F94" s="102"/>
      <c r="G94" s="102"/>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63"/>
  <sheetViews>
    <sheetView workbookViewId="0">
      <selection activeCell="J61" sqref="J61"/>
    </sheetView>
  </sheetViews>
  <sheetFormatPr baseColWidth="10" defaultColWidth="8.83203125" defaultRowHeight="14" x14ac:dyDescent="0"/>
  <cols>
    <col min="2" max="2" width="45.1640625" customWidth="1"/>
    <col min="3" max="4" width="20.1640625" customWidth="1"/>
    <col min="5" max="5" width="20.1640625" hidden="1" customWidth="1"/>
    <col min="6" max="6" width="20.1640625" customWidth="1"/>
    <col min="7" max="7" width="20.1640625" hidden="1" customWidth="1"/>
    <col min="8" max="8" width="20.1640625" customWidth="1"/>
    <col min="9" max="9" width="20.1640625" hidden="1" customWidth="1"/>
    <col min="10" max="10" width="20.1640625" customWidth="1"/>
    <col min="11" max="11" width="20.1640625" hidden="1" customWidth="1"/>
    <col min="12" max="12" width="20.1640625" customWidth="1"/>
    <col min="13" max="13" width="20.1640625" hidden="1" customWidth="1"/>
    <col min="14" max="14" width="20.1640625" customWidth="1"/>
  </cols>
  <sheetData>
    <row r="1" spans="1:14" ht="28">
      <c r="A1" s="182"/>
      <c r="B1" s="183"/>
      <c r="C1" s="184" t="s">
        <v>212</v>
      </c>
      <c r="D1" s="185" t="s">
        <v>249</v>
      </c>
      <c r="E1" s="186" t="s">
        <v>213</v>
      </c>
      <c r="F1" s="185" t="s">
        <v>250</v>
      </c>
      <c r="G1" s="186" t="s">
        <v>214</v>
      </c>
      <c r="H1" s="185" t="s">
        <v>251</v>
      </c>
      <c r="I1" s="186" t="s">
        <v>215</v>
      </c>
      <c r="J1" s="185" t="s">
        <v>252</v>
      </c>
      <c r="K1" s="186" t="s">
        <v>216</v>
      </c>
      <c r="L1" s="185" t="s">
        <v>253</v>
      </c>
      <c r="M1" s="186" t="s">
        <v>217</v>
      </c>
      <c r="N1" s="187" t="s">
        <v>218</v>
      </c>
    </row>
    <row r="2" spans="1:14" hidden="1">
      <c r="A2" s="182"/>
      <c r="B2" s="188" t="s">
        <v>219</v>
      </c>
      <c r="C2" s="189">
        <v>8595000000</v>
      </c>
      <c r="D2" s="269">
        <v>9347907411</v>
      </c>
      <c r="E2" s="190"/>
      <c r="F2" s="191"/>
      <c r="G2" s="190"/>
      <c r="H2" s="191"/>
      <c r="I2" s="190"/>
      <c r="J2" s="192"/>
      <c r="K2" s="193"/>
      <c r="L2" s="192"/>
      <c r="M2" s="193"/>
      <c r="N2" s="194" t="e">
        <v>#REF!</v>
      </c>
    </row>
    <row r="3" spans="1:14" ht="28.5" customHeight="1" thickBot="1">
      <c r="A3" s="300" t="s">
        <v>171</v>
      </c>
      <c r="B3" s="300"/>
      <c r="C3" s="300"/>
      <c r="D3" s="301"/>
      <c r="E3" s="301"/>
      <c r="F3" s="301"/>
      <c r="G3" s="301"/>
      <c r="H3" s="301"/>
      <c r="I3" s="301"/>
      <c r="J3" s="301"/>
      <c r="K3" s="301"/>
      <c r="L3" s="195"/>
      <c r="M3" s="196"/>
      <c r="N3" s="197"/>
    </row>
    <row r="4" spans="1:14" ht="15" thickBot="1">
      <c r="A4" s="198"/>
      <c r="B4" s="199" t="s">
        <v>220</v>
      </c>
      <c r="C4" s="200">
        <v>8595000000</v>
      </c>
      <c r="D4" s="201">
        <f>D7+D8+D11+D15+D16+D17+D24+D29+D30+D32+D33+D35+D36+D39+D45</f>
        <v>9347604639</v>
      </c>
      <c r="E4" s="202"/>
      <c r="F4" s="201">
        <f>F7+F8+F11+F15+F16+F17+F24+F29+F30+F32+F33+F35+F36+F39+F45+F48</f>
        <v>9733706043.1449986</v>
      </c>
      <c r="G4" s="201">
        <f t="shared" ref="G4:L4" si="0">G7+G8+G11+G15+G16+G17+G24+G29+G30+G32+G33+G35+G36+G39+G45</f>
        <v>8495261000</v>
      </c>
      <c r="H4" s="201">
        <f t="shared" si="0"/>
        <v>9733353407.1287727</v>
      </c>
      <c r="I4" s="201">
        <f t="shared" si="0"/>
        <v>8786171000</v>
      </c>
      <c r="J4" s="201">
        <f t="shared" si="0"/>
        <v>9939380029.8067932</v>
      </c>
      <c r="K4" s="201">
        <f t="shared" si="0"/>
        <v>8961993500</v>
      </c>
      <c r="L4" s="201">
        <f t="shared" si="0"/>
        <v>10150348462.401009</v>
      </c>
      <c r="M4" s="202"/>
      <c r="N4" s="203">
        <v>48705670513.578117</v>
      </c>
    </row>
    <row r="5" spans="1:14" ht="15" hidden="1" thickBot="1">
      <c r="A5" s="204"/>
      <c r="B5" s="205" t="s">
        <v>221</v>
      </c>
      <c r="C5" s="204" t="s">
        <v>176</v>
      </c>
      <c r="D5" s="206"/>
      <c r="E5" s="207"/>
      <c r="F5" s="208"/>
      <c r="G5" s="209"/>
      <c r="H5" s="208"/>
      <c r="I5" s="209"/>
      <c r="J5" s="201"/>
      <c r="K5" s="209"/>
      <c r="L5" s="211"/>
      <c r="M5" s="212"/>
      <c r="N5" s="213" t="e">
        <v>#REF!</v>
      </c>
    </row>
    <row r="6" spans="1:14" hidden="1">
      <c r="A6" s="204"/>
      <c r="B6" s="204"/>
      <c r="C6" s="204"/>
      <c r="D6" s="206"/>
      <c r="E6" s="207"/>
      <c r="F6" s="208"/>
      <c r="G6" s="209"/>
      <c r="H6" s="208"/>
      <c r="I6" s="209"/>
      <c r="J6" s="210"/>
      <c r="K6" s="209"/>
      <c r="L6" s="211"/>
      <c r="M6" s="212"/>
      <c r="N6" s="213" t="e">
        <v>#REF!</v>
      </c>
    </row>
    <row r="7" spans="1:14" ht="42">
      <c r="A7" s="214" t="s">
        <v>222</v>
      </c>
      <c r="B7" s="215" t="s">
        <v>0</v>
      </c>
      <c r="C7" s="216">
        <v>10000000</v>
      </c>
      <c r="D7" s="218">
        <v>10000000</v>
      </c>
      <c r="E7" s="218">
        <v>10000000</v>
      </c>
      <c r="F7" s="220">
        <v>10000000</v>
      </c>
      <c r="G7" s="218">
        <v>10000000</v>
      </c>
      <c r="H7" s="220">
        <v>10000000</v>
      </c>
      <c r="I7" s="218">
        <v>10000000</v>
      </c>
      <c r="J7" s="218">
        <v>10000000</v>
      </c>
      <c r="K7" s="225">
        <v>10000000</v>
      </c>
      <c r="L7" s="218">
        <v>10000000</v>
      </c>
      <c r="M7" s="223">
        <v>10000000</v>
      </c>
      <c r="N7" s="270"/>
    </row>
    <row r="8" spans="1:14">
      <c r="A8" s="214">
        <v>5305</v>
      </c>
      <c r="B8" s="215" t="s">
        <v>2</v>
      </c>
      <c r="C8" s="216">
        <v>128800000</v>
      </c>
      <c r="D8" s="218">
        <v>130732000</v>
      </c>
      <c r="E8" s="218">
        <v>128800000</v>
      </c>
      <c r="F8" s="225">
        <v>133398932.79999998</v>
      </c>
      <c r="G8" s="218">
        <v>12800000</v>
      </c>
      <c r="H8" s="225">
        <v>136200310.38879997</v>
      </c>
      <c r="I8" s="218">
        <v>131415000</v>
      </c>
      <c r="J8" s="225">
        <v>139087756.96904254</v>
      </c>
      <c r="K8" s="225">
        <v>134043000</v>
      </c>
      <c r="L8" s="280">
        <v>142036417.41678625</v>
      </c>
      <c r="M8" s="223">
        <v>136775000</v>
      </c>
      <c r="N8" s="270"/>
    </row>
    <row r="9" spans="1:14">
      <c r="A9" s="226">
        <v>5303</v>
      </c>
      <c r="B9" s="227" t="s">
        <v>1</v>
      </c>
      <c r="C9" s="250">
        <v>106543360</v>
      </c>
      <c r="D9" s="271">
        <f>D8*0.8272</f>
        <v>108141510.40000001</v>
      </c>
      <c r="E9" s="271"/>
      <c r="F9" s="271">
        <f t="shared" ref="F9:L9" si="1">F8*0.8272</f>
        <v>110347597.21215999</v>
      </c>
      <c r="G9" s="271">
        <f t="shared" si="1"/>
        <v>10588160</v>
      </c>
      <c r="H9" s="271">
        <f t="shared" si="1"/>
        <v>112664896.75361533</v>
      </c>
      <c r="I9" s="271">
        <f t="shared" si="1"/>
        <v>108706488</v>
      </c>
      <c r="J9" s="271">
        <f t="shared" si="1"/>
        <v>115053392.56479199</v>
      </c>
      <c r="K9" s="271">
        <f t="shared" si="1"/>
        <v>110880369.60000001</v>
      </c>
      <c r="L9" s="271">
        <f t="shared" si="1"/>
        <v>117492524.4871656</v>
      </c>
      <c r="M9" s="232"/>
      <c r="N9" s="289"/>
    </row>
    <row r="10" spans="1:14">
      <c r="A10" s="226">
        <v>5304</v>
      </c>
      <c r="B10" s="227" t="s">
        <v>3</v>
      </c>
      <c r="C10" s="250">
        <v>22256640</v>
      </c>
      <c r="D10" s="271">
        <f>D8*0.1728</f>
        <v>22590489.600000001</v>
      </c>
      <c r="E10" s="271"/>
      <c r="F10" s="271">
        <f t="shared" ref="F10:L10" si="2">F8*0.1728</f>
        <v>23051335.587839998</v>
      </c>
      <c r="G10" s="271">
        <f t="shared" si="2"/>
        <v>2211840</v>
      </c>
      <c r="H10" s="271">
        <f t="shared" si="2"/>
        <v>23535413.635184634</v>
      </c>
      <c r="I10" s="271">
        <f t="shared" si="2"/>
        <v>22708512</v>
      </c>
      <c r="J10" s="271">
        <f t="shared" si="2"/>
        <v>24034364.404250551</v>
      </c>
      <c r="K10" s="271">
        <f t="shared" si="2"/>
        <v>23162630.400000002</v>
      </c>
      <c r="L10" s="271">
        <f t="shared" si="2"/>
        <v>24543892.929620665</v>
      </c>
      <c r="M10" s="232"/>
      <c r="N10" s="233"/>
    </row>
    <row r="11" spans="1:14">
      <c r="A11" s="214">
        <v>5307</v>
      </c>
      <c r="B11" s="215" t="s">
        <v>223</v>
      </c>
      <c r="C11" s="216">
        <v>4458650000</v>
      </c>
      <c r="D11" s="218">
        <v>4538905700</v>
      </c>
      <c r="E11" s="218">
        <v>4458650000</v>
      </c>
      <c r="F11" s="225">
        <v>4629683814</v>
      </c>
      <c r="G11" s="218">
        <v>4458650000</v>
      </c>
      <c r="H11" s="225">
        <v>4726907174.0939999</v>
      </c>
      <c r="I11" s="218">
        <v>4549161000</v>
      </c>
      <c r="J11" s="225">
        <v>4827117606.1847935</v>
      </c>
      <c r="K11" s="225">
        <v>4640144000</v>
      </c>
      <c r="L11" s="280">
        <v>4929452499.4359112</v>
      </c>
      <c r="M11" s="223">
        <v>4734724000</v>
      </c>
      <c r="N11" s="224"/>
    </row>
    <row r="12" spans="1:14">
      <c r="A12" s="226">
        <v>5307</v>
      </c>
      <c r="B12" s="227" t="s">
        <v>6</v>
      </c>
      <c r="C12" s="250">
        <v>22293250</v>
      </c>
      <c r="D12" s="271">
        <f>D11*0.005</f>
        <v>22694528.5</v>
      </c>
      <c r="E12" s="287"/>
      <c r="F12" s="271">
        <f t="shared" ref="F12:L12" si="3">F11*0.005</f>
        <v>23148419.07</v>
      </c>
      <c r="G12" s="271">
        <f t="shared" si="3"/>
        <v>22293250</v>
      </c>
      <c r="H12" s="271">
        <f t="shared" si="3"/>
        <v>23634535.870469999</v>
      </c>
      <c r="I12" s="271">
        <f t="shared" si="3"/>
        <v>22745805</v>
      </c>
      <c r="J12" s="271">
        <f t="shared" si="3"/>
        <v>24135588.030923966</v>
      </c>
      <c r="K12" s="271">
        <f t="shared" si="3"/>
        <v>23200720</v>
      </c>
      <c r="L12" s="271">
        <f t="shared" si="3"/>
        <v>24647262.497179557</v>
      </c>
      <c r="M12" s="231"/>
      <c r="N12" s="290"/>
    </row>
    <row r="13" spans="1:14">
      <c r="A13" s="226">
        <v>5307</v>
      </c>
      <c r="B13" s="227" t="s">
        <v>5</v>
      </c>
      <c r="C13" s="250">
        <v>30000000</v>
      </c>
      <c r="D13" s="271">
        <v>30000000</v>
      </c>
      <c r="E13" s="253">
        <v>30000000</v>
      </c>
      <c r="F13" s="271">
        <v>30000000</v>
      </c>
      <c r="G13" s="271">
        <v>30000000</v>
      </c>
      <c r="H13" s="271">
        <v>30000000</v>
      </c>
      <c r="I13" s="271">
        <v>30000000</v>
      </c>
      <c r="J13" s="271">
        <v>30000000</v>
      </c>
      <c r="K13" s="271">
        <v>30000000</v>
      </c>
      <c r="L13" s="271">
        <v>30000000</v>
      </c>
      <c r="M13" s="231"/>
      <c r="N13" s="234"/>
    </row>
    <row r="14" spans="1:14">
      <c r="A14" s="235">
        <v>5307</v>
      </c>
      <c r="B14" s="236" t="s">
        <v>4</v>
      </c>
      <c r="C14" s="250">
        <v>4406356750</v>
      </c>
      <c r="D14" s="288">
        <f>D11-D12-D13</f>
        <v>4486211171.5</v>
      </c>
      <c r="E14" s="287"/>
      <c r="F14" s="288">
        <f t="shared" ref="F14:L14" si="4">F11-F12-F13</f>
        <v>4576535394.9300003</v>
      </c>
      <c r="G14" s="288">
        <f t="shared" si="4"/>
        <v>4406356750</v>
      </c>
      <c r="H14" s="288">
        <f t="shared" si="4"/>
        <v>4673272638.2235298</v>
      </c>
      <c r="I14" s="288">
        <f t="shared" si="4"/>
        <v>4496415195</v>
      </c>
      <c r="J14" s="288">
        <f t="shared" si="4"/>
        <v>4772982018.1538696</v>
      </c>
      <c r="K14" s="288">
        <f t="shared" si="4"/>
        <v>4586943280</v>
      </c>
      <c r="L14" s="288">
        <f t="shared" si="4"/>
        <v>4874805236.9387312</v>
      </c>
      <c r="M14" s="231"/>
      <c r="N14" s="234"/>
    </row>
    <row r="15" spans="1:14">
      <c r="A15" s="214">
        <v>5310</v>
      </c>
      <c r="B15" s="215" t="s">
        <v>7</v>
      </c>
      <c r="C15" s="216">
        <v>258300000</v>
      </c>
      <c r="D15" s="218">
        <v>262949400</v>
      </c>
      <c r="E15" s="218">
        <v>262175000</v>
      </c>
      <c r="F15" s="225">
        <v>268208388</v>
      </c>
      <c r="G15" s="218">
        <v>266841000</v>
      </c>
      <c r="H15" s="225">
        <v>273840764.148</v>
      </c>
      <c r="I15" s="218">
        <v>272258000</v>
      </c>
      <c r="J15" s="218">
        <v>279646188.34793764</v>
      </c>
      <c r="K15" s="218">
        <v>277703000</v>
      </c>
      <c r="L15" s="280">
        <v>285574687.54091394</v>
      </c>
      <c r="M15" s="222">
        <v>283364000</v>
      </c>
      <c r="N15" s="238"/>
    </row>
    <row r="16" spans="1:14">
      <c r="A16" s="214">
        <v>5310</v>
      </c>
      <c r="B16" s="215" t="s">
        <v>147</v>
      </c>
      <c r="C16" s="216"/>
      <c r="D16" s="218">
        <v>2000000</v>
      </c>
      <c r="E16" s="218"/>
      <c r="F16" s="218">
        <v>3000000</v>
      </c>
      <c r="G16" s="218"/>
      <c r="H16" s="218">
        <v>3250000</v>
      </c>
      <c r="I16" s="218"/>
      <c r="J16" s="218">
        <v>3500000</v>
      </c>
      <c r="K16" s="225"/>
      <c r="L16" s="281">
        <v>3500000</v>
      </c>
      <c r="M16" s="222"/>
      <c r="N16" s="238"/>
    </row>
    <row r="17" spans="1:14">
      <c r="A17" s="214">
        <v>5311</v>
      </c>
      <c r="B17" s="215" t="s">
        <v>8</v>
      </c>
      <c r="C17" s="216">
        <v>607800000</v>
      </c>
      <c r="D17" s="218">
        <v>619956000</v>
      </c>
      <c r="E17" s="218">
        <v>607800000</v>
      </c>
      <c r="F17" s="225">
        <v>632355120</v>
      </c>
      <c r="G17" s="218">
        <v>607800000</v>
      </c>
      <c r="H17" s="225">
        <v>645634577.51999998</v>
      </c>
      <c r="I17" s="218">
        <v>620138000</v>
      </c>
      <c r="J17" s="218">
        <v>659322030.56342399</v>
      </c>
      <c r="K17" s="218">
        <v>632541000</v>
      </c>
      <c r="L17" s="280">
        <v>673299657.61136866</v>
      </c>
      <c r="M17" s="222">
        <v>645434000</v>
      </c>
      <c r="N17" s="238"/>
    </row>
    <row r="18" spans="1:14">
      <c r="A18" s="226">
        <v>5311</v>
      </c>
      <c r="B18" s="227" t="s">
        <v>8</v>
      </c>
      <c r="C18" s="250">
        <v>543820600</v>
      </c>
      <c r="D18" s="271">
        <f>D17-D19-D20-D21-D23</f>
        <v>552556880</v>
      </c>
      <c r="E18" s="287"/>
      <c r="F18" s="271">
        <f t="shared" ref="F18:L18" si="5">F17-F19-F20-F21-F23</f>
        <v>564708017.60000002</v>
      </c>
      <c r="G18" s="271">
        <f t="shared" si="5"/>
        <v>555644000</v>
      </c>
      <c r="H18" s="271">
        <f t="shared" si="5"/>
        <v>577721885.96959996</v>
      </c>
      <c r="I18" s="271">
        <f t="shared" si="5"/>
        <v>567735240</v>
      </c>
      <c r="J18" s="271">
        <f t="shared" si="5"/>
        <v>591135589.95215547</v>
      </c>
      <c r="K18" s="271">
        <f t="shared" si="5"/>
        <v>579890180</v>
      </c>
      <c r="L18" s="271">
        <f t="shared" si="5"/>
        <v>604833664.45914125</v>
      </c>
      <c r="M18" s="231"/>
      <c r="N18" s="234"/>
    </row>
    <row r="19" spans="1:14" ht="28">
      <c r="A19" s="226" t="s">
        <v>172</v>
      </c>
      <c r="B19" s="227" t="s">
        <v>224</v>
      </c>
      <c r="C19" s="250">
        <v>25000000</v>
      </c>
      <c r="D19" s="271">
        <v>30000000</v>
      </c>
      <c r="E19" s="253">
        <v>25000000</v>
      </c>
      <c r="F19" s="271">
        <v>30000000</v>
      </c>
      <c r="G19" s="271">
        <v>30000000</v>
      </c>
      <c r="H19" s="271">
        <v>30000000</v>
      </c>
      <c r="I19" s="271">
        <v>30000000</v>
      </c>
      <c r="J19" s="271">
        <v>30000000</v>
      </c>
      <c r="K19" s="271">
        <v>30000000</v>
      </c>
      <c r="L19" s="271">
        <v>30000000</v>
      </c>
      <c r="M19" s="231">
        <v>25000000</v>
      </c>
      <c r="N19" s="234"/>
    </row>
    <row r="20" spans="1:14" ht="28">
      <c r="A20" s="226" t="s">
        <v>172</v>
      </c>
      <c r="B20" s="227" t="s">
        <v>225</v>
      </c>
      <c r="C20" s="250">
        <v>5000000</v>
      </c>
      <c r="D20" s="271">
        <v>5000000</v>
      </c>
      <c r="E20" s="253">
        <v>5000000</v>
      </c>
      <c r="F20" s="271">
        <v>5000000</v>
      </c>
      <c r="G20" s="271">
        <v>5000000</v>
      </c>
      <c r="H20" s="271">
        <v>5000000</v>
      </c>
      <c r="I20" s="271">
        <v>5000000</v>
      </c>
      <c r="J20" s="271">
        <v>5000000</v>
      </c>
      <c r="K20" s="271">
        <v>5000000</v>
      </c>
      <c r="L20" s="271">
        <v>5000000</v>
      </c>
      <c r="M20" s="231">
        <v>5000000</v>
      </c>
      <c r="N20" s="234"/>
    </row>
    <row r="21" spans="1:14" ht="28">
      <c r="A21" s="226" t="s">
        <v>173</v>
      </c>
      <c r="B21" s="227" t="s">
        <v>10</v>
      </c>
      <c r="C21" s="250">
        <v>20000000</v>
      </c>
      <c r="D21" s="253">
        <v>20000000</v>
      </c>
      <c r="E21" s="253">
        <v>20000000</v>
      </c>
      <c r="F21" s="253">
        <v>20000000</v>
      </c>
      <c r="G21" s="271">
        <v>5000000</v>
      </c>
      <c r="H21" s="253">
        <v>20000000</v>
      </c>
      <c r="I21" s="271">
        <v>5000000</v>
      </c>
      <c r="J21" s="253">
        <v>20000000</v>
      </c>
      <c r="K21" s="271">
        <v>5000000</v>
      </c>
      <c r="L21" s="253">
        <v>20000000</v>
      </c>
      <c r="M21" s="231">
        <v>20000000</v>
      </c>
      <c r="N21" s="234"/>
    </row>
    <row r="22" spans="1:14">
      <c r="A22" s="226">
        <v>5311</v>
      </c>
      <c r="B22" s="227" t="s">
        <v>242</v>
      </c>
      <c r="C22" s="250">
        <v>1823400</v>
      </c>
      <c r="D22" s="271">
        <f>D23*0.15</f>
        <v>1859868</v>
      </c>
      <c r="E22" s="271"/>
      <c r="F22" s="271">
        <f t="shared" ref="F22:L22" si="6">F23*0.15</f>
        <v>1897065.3599999999</v>
      </c>
      <c r="G22" s="271">
        <f t="shared" si="6"/>
        <v>1823400</v>
      </c>
      <c r="H22" s="271">
        <f t="shared" si="6"/>
        <v>1936903.7325599999</v>
      </c>
      <c r="I22" s="271">
        <f t="shared" si="6"/>
        <v>1860414</v>
      </c>
      <c r="J22" s="271">
        <f t="shared" si="6"/>
        <v>1977966.0916902719</v>
      </c>
      <c r="K22" s="271">
        <f t="shared" si="6"/>
        <v>1897623</v>
      </c>
      <c r="L22" s="271">
        <f t="shared" si="6"/>
        <v>2019898.9728341061</v>
      </c>
      <c r="M22" s="231"/>
      <c r="N22" s="234"/>
    </row>
    <row r="23" spans="1:14">
      <c r="A23" s="226">
        <v>5311</v>
      </c>
      <c r="B23" s="227" t="s">
        <v>226</v>
      </c>
      <c r="C23" s="250">
        <v>12156000</v>
      </c>
      <c r="D23" s="271">
        <f>D17*0.02</f>
        <v>12399120</v>
      </c>
      <c r="E23" s="271"/>
      <c r="F23" s="271">
        <f t="shared" ref="F23:L23" si="7">F17*0.02</f>
        <v>12647102.4</v>
      </c>
      <c r="G23" s="271">
        <f t="shared" si="7"/>
        <v>12156000</v>
      </c>
      <c r="H23" s="271">
        <f t="shared" si="7"/>
        <v>12912691.5504</v>
      </c>
      <c r="I23" s="271">
        <f t="shared" si="7"/>
        <v>12402760</v>
      </c>
      <c r="J23" s="271">
        <f t="shared" si="7"/>
        <v>13186440.611268479</v>
      </c>
      <c r="K23" s="271">
        <f t="shared" si="7"/>
        <v>12650820</v>
      </c>
      <c r="L23" s="271">
        <f t="shared" si="7"/>
        <v>13465993.152227374</v>
      </c>
      <c r="M23" s="231"/>
      <c r="N23" s="234"/>
    </row>
    <row r="24" spans="1:14">
      <c r="A24" s="214">
        <v>5312</v>
      </c>
      <c r="B24" s="240" t="s">
        <v>227</v>
      </c>
      <c r="C24" s="241"/>
      <c r="D24" s="218">
        <v>20000000</v>
      </c>
      <c r="E24" s="218"/>
      <c r="F24" s="218">
        <v>20000000</v>
      </c>
      <c r="G24" s="218"/>
      <c r="H24" s="218">
        <v>20000000</v>
      </c>
      <c r="I24" s="218"/>
      <c r="J24" s="218">
        <v>20000000</v>
      </c>
      <c r="K24" s="225"/>
      <c r="L24" s="218">
        <v>20000000</v>
      </c>
      <c r="M24" s="222"/>
      <c r="N24" s="238"/>
    </row>
    <row r="25" spans="1:14">
      <c r="A25" s="226">
        <v>5312</v>
      </c>
      <c r="B25" s="227" t="s">
        <v>21</v>
      </c>
      <c r="C25" s="228">
        <v>30000000</v>
      </c>
      <c r="D25" s="217"/>
      <c r="E25" s="218"/>
      <c r="F25" s="229"/>
      <c r="G25" s="218"/>
      <c r="H25" s="229"/>
      <c r="I25" s="218"/>
      <c r="J25" s="230"/>
      <c r="K25" s="263"/>
      <c r="L25" s="230"/>
      <c r="M25" s="231"/>
      <c r="N25" s="234"/>
    </row>
    <row r="26" spans="1:14">
      <c r="A26" s="226">
        <v>5312</v>
      </c>
      <c r="B26" s="227" t="s">
        <v>24</v>
      </c>
      <c r="C26" s="228">
        <v>19500000</v>
      </c>
      <c r="D26" s="217"/>
      <c r="E26" s="218"/>
      <c r="F26" s="229"/>
      <c r="G26" s="218"/>
      <c r="H26" s="229"/>
      <c r="I26" s="218"/>
      <c r="J26" s="230"/>
      <c r="K26" s="263"/>
      <c r="L26" s="230"/>
      <c r="M26" s="231"/>
      <c r="N26" s="234"/>
    </row>
    <row r="27" spans="1:14">
      <c r="A27" s="226">
        <v>5312</v>
      </c>
      <c r="B27" s="227" t="s">
        <v>23</v>
      </c>
      <c r="C27" s="228">
        <v>3000000</v>
      </c>
      <c r="D27" s="217"/>
      <c r="E27" s="218"/>
      <c r="F27" s="229"/>
      <c r="G27" s="218"/>
      <c r="H27" s="229"/>
      <c r="I27" s="218"/>
      <c r="J27" s="230"/>
      <c r="K27" s="263"/>
      <c r="L27" s="230"/>
      <c r="M27" s="231"/>
      <c r="N27" s="234"/>
    </row>
    <row r="28" spans="1:14">
      <c r="A28" s="226">
        <v>5312</v>
      </c>
      <c r="B28" s="227" t="s">
        <v>30</v>
      </c>
      <c r="C28" s="228">
        <v>7500000</v>
      </c>
      <c r="D28" s="217"/>
      <c r="E28" s="218"/>
      <c r="F28" s="229"/>
      <c r="G28" s="218"/>
      <c r="H28" s="229"/>
      <c r="I28" s="218"/>
      <c r="J28" s="230"/>
      <c r="K28" s="263"/>
      <c r="L28" s="230"/>
      <c r="M28" s="231"/>
      <c r="N28" s="234"/>
    </row>
    <row r="29" spans="1:14">
      <c r="A29" s="214">
        <v>5312</v>
      </c>
      <c r="B29" s="215" t="s">
        <v>228</v>
      </c>
      <c r="C29" s="216"/>
      <c r="D29" s="218">
        <v>3000000</v>
      </c>
      <c r="E29" s="218"/>
      <c r="F29" s="218">
        <v>3000000</v>
      </c>
      <c r="G29" s="218"/>
      <c r="H29" s="218">
        <v>3000000</v>
      </c>
      <c r="I29" s="218"/>
      <c r="J29" s="218">
        <v>3000000</v>
      </c>
      <c r="K29" s="218"/>
      <c r="L29" s="218">
        <v>3000000</v>
      </c>
      <c r="M29" s="222"/>
      <c r="N29" s="238"/>
    </row>
    <row r="30" spans="1:14">
      <c r="A30" s="214">
        <v>5312</v>
      </c>
      <c r="B30" s="215" t="s">
        <v>229</v>
      </c>
      <c r="C30" s="216"/>
      <c r="D30" s="218">
        <v>5000000</v>
      </c>
      <c r="E30" s="218"/>
      <c r="F30" s="218">
        <v>5000000</v>
      </c>
      <c r="G30" s="218"/>
      <c r="H30" s="218">
        <v>5000000</v>
      </c>
      <c r="I30" s="218"/>
      <c r="J30" s="218">
        <v>5000000</v>
      </c>
      <c r="K30" s="225"/>
      <c r="L30" s="218">
        <v>5000000</v>
      </c>
      <c r="M30" s="222"/>
      <c r="N30" s="238"/>
    </row>
    <row r="31" spans="1:14">
      <c r="A31" s="226">
        <v>5313</v>
      </c>
      <c r="B31" s="227" t="s">
        <v>230</v>
      </c>
      <c r="C31" s="228">
        <v>3000000</v>
      </c>
      <c r="D31" s="217"/>
      <c r="E31" s="218"/>
      <c r="F31" s="229"/>
      <c r="G31" s="218"/>
      <c r="H31" s="229"/>
      <c r="I31" s="218"/>
      <c r="J31" s="230"/>
      <c r="K31" s="263"/>
      <c r="L31" s="230"/>
      <c r="M31" s="231"/>
      <c r="N31" s="234"/>
    </row>
    <row r="32" spans="1:14">
      <c r="A32" s="214">
        <v>5318</v>
      </c>
      <c r="B32" s="215" t="s">
        <v>11</v>
      </c>
      <c r="C32" s="216">
        <v>3000000</v>
      </c>
      <c r="D32" s="218">
        <v>3000000</v>
      </c>
      <c r="E32" s="218">
        <v>3000000</v>
      </c>
      <c r="F32" s="218">
        <v>3000000</v>
      </c>
      <c r="G32" s="218">
        <v>3000000</v>
      </c>
      <c r="H32" s="218">
        <v>3000000</v>
      </c>
      <c r="I32" s="218">
        <v>3000000</v>
      </c>
      <c r="J32" s="218">
        <v>3000000</v>
      </c>
      <c r="K32" s="218">
        <v>3000000</v>
      </c>
      <c r="L32" s="218">
        <v>3000000</v>
      </c>
      <c r="M32" s="222">
        <v>3000000</v>
      </c>
      <c r="N32" s="238"/>
    </row>
    <row r="33" spans="1:14" ht="28">
      <c r="A33" s="214" t="s">
        <v>231</v>
      </c>
      <c r="B33" s="215" t="s">
        <v>232</v>
      </c>
      <c r="C33" s="241"/>
      <c r="D33" s="218">
        <v>9000000</v>
      </c>
      <c r="E33" s="218"/>
      <c r="F33" s="218">
        <v>9000000</v>
      </c>
      <c r="G33" s="218"/>
      <c r="H33" s="218">
        <v>9000000</v>
      </c>
      <c r="I33" s="218"/>
      <c r="J33" s="218">
        <v>9000000</v>
      </c>
      <c r="K33" s="218"/>
      <c r="L33" s="218">
        <v>9000000</v>
      </c>
      <c r="M33" s="222"/>
      <c r="N33" s="238"/>
    </row>
    <row r="34" spans="1:14">
      <c r="A34" s="242" t="s">
        <v>233</v>
      </c>
      <c r="B34" s="243" t="s">
        <v>26</v>
      </c>
      <c r="C34" s="244">
        <v>5000000</v>
      </c>
      <c r="D34" s="271">
        <v>5000000</v>
      </c>
      <c r="E34" s="271">
        <v>5000000</v>
      </c>
      <c r="F34" s="271">
        <v>5000000</v>
      </c>
      <c r="G34" s="271">
        <v>5000000</v>
      </c>
      <c r="H34" s="271">
        <v>5000000</v>
      </c>
      <c r="I34" s="271">
        <v>5000000</v>
      </c>
      <c r="J34" s="271">
        <v>5000000</v>
      </c>
      <c r="K34" s="271">
        <v>5000000</v>
      </c>
      <c r="L34" s="271">
        <v>5000000</v>
      </c>
      <c r="M34" s="245">
        <v>5000000</v>
      </c>
      <c r="N34" s="246"/>
    </row>
    <row r="35" spans="1:14">
      <c r="A35" s="214">
        <v>5335</v>
      </c>
      <c r="B35" s="215" t="s">
        <v>12</v>
      </c>
      <c r="C35" s="216">
        <v>3850000</v>
      </c>
      <c r="D35" s="218">
        <v>4000000</v>
      </c>
      <c r="E35" s="218">
        <v>3850000</v>
      </c>
      <c r="F35" s="218">
        <v>4000000</v>
      </c>
      <c r="G35" s="218">
        <v>3850000</v>
      </c>
      <c r="H35" s="218">
        <v>4000000</v>
      </c>
      <c r="I35" s="218">
        <v>3850000</v>
      </c>
      <c r="J35" s="218">
        <v>4000000</v>
      </c>
      <c r="K35" s="218">
        <v>3850000</v>
      </c>
      <c r="L35" s="218">
        <v>4000000</v>
      </c>
      <c r="M35" s="222">
        <v>3850000</v>
      </c>
      <c r="N35" s="238"/>
    </row>
    <row r="36" spans="1:14">
      <c r="A36" s="214">
        <v>5337</v>
      </c>
      <c r="B36" s="215" t="s">
        <v>13</v>
      </c>
      <c r="C36" s="216">
        <v>2165900000</v>
      </c>
      <c r="D36" s="218">
        <v>2507000000</v>
      </c>
      <c r="E36" s="218">
        <v>2198389000</v>
      </c>
      <c r="F36" s="218">
        <v>2549669999.9999995</v>
      </c>
      <c r="G36" s="218">
        <v>2237520000</v>
      </c>
      <c r="H36" s="218">
        <v>2593703557.4999995</v>
      </c>
      <c r="I36" s="218">
        <v>2282941000</v>
      </c>
      <c r="J36" s="218">
        <v>2638366858.6889997</v>
      </c>
      <c r="K36" s="218">
        <v>2328600000</v>
      </c>
      <c r="L36" s="218">
        <v>2683798368.6584506</v>
      </c>
      <c r="M36" s="222">
        <v>2376064000</v>
      </c>
      <c r="N36" s="238"/>
    </row>
    <row r="37" spans="1:14">
      <c r="A37" s="226">
        <v>5337</v>
      </c>
      <c r="B37" s="227" t="s">
        <v>14</v>
      </c>
      <c r="C37" s="228">
        <v>2104171850</v>
      </c>
      <c r="D37" s="271">
        <f>D36*0.9715</f>
        <v>2435550500</v>
      </c>
      <c r="E37" s="271"/>
      <c r="F37" s="271">
        <f t="shared" ref="F37:L37" si="8">F36*0.9715</f>
        <v>2477004404.9999995</v>
      </c>
      <c r="G37" s="271">
        <f t="shared" si="8"/>
        <v>2173750680</v>
      </c>
      <c r="H37" s="271">
        <f t="shared" si="8"/>
        <v>2519783006.1112494</v>
      </c>
      <c r="I37" s="271">
        <f t="shared" si="8"/>
        <v>2217877181.5</v>
      </c>
      <c r="J37" s="271">
        <f t="shared" si="8"/>
        <v>2563173403.2163634</v>
      </c>
      <c r="K37" s="271">
        <f t="shared" si="8"/>
        <v>2262234900</v>
      </c>
      <c r="L37" s="271">
        <f t="shared" si="8"/>
        <v>2607310115.1516848</v>
      </c>
      <c r="M37" s="231"/>
      <c r="N37" s="234"/>
    </row>
    <row r="38" spans="1:14">
      <c r="A38" s="226">
        <v>5337</v>
      </c>
      <c r="B38" s="227" t="s">
        <v>15</v>
      </c>
      <c r="C38" s="228">
        <v>61728150</v>
      </c>
      <c r="D38" s="271">
        <f>D36*0.0285</f>
        <v>71449500</v>
      </c>
      <c r="E38" s="271"/>
      <c r="F38" s="271">
        <f t="shared" ref="F38:L38" si="9">F36*0.0285</f>
        <v>72665594.999999985</v>
      </c>
      <c r="G38" s="271">
        <f t="shared" si="9"/>
        <v>63769320</v>
      </c>
      <c r="H38" s="271">
        <f t="shared" si="9"/>
        <v>73920551.388749987</v>
      </c>
      <c r="I38" s="271">
        <f t="shared" si="9"/>
        <v>65063818.5</v>
      </c>
      <c r="J38" s="271">
        <f t="shared" si="9"/>
        <v>75193455.472636491</v>
      </c>
      <c r="K38" s="271">
        <f t="shared" si="9"/>
        <v>66365100</v>
      </c>
      <c r="L38" s="271">
        <f t="shared" si="9"/>
        <v>76488253.506765842</v>
      </c>
      <c r="M38" s="231"/>
      <c r="N38" s="234"/>
    </row>
    <row r="39" spans="1:14">
      <c r="A39" s="214">
        <v>5339</v>
      </c>
      <c r="B39" s="215" t="s">
        <v>16</v>
      </c>
      <c r="C39" s="216">
        <v>427800000</v>
      </c>
      <c r="D39" s="218">
        <v>695800000</v>
      </c>
      <c r="E39" s="218">
        <v>782950000</v>
      </c>
      <c r="F39" s="225">
        <v>719956000</v>
      </c>
      <c r="G39" s="218">
        <v>894800000</v>
      </c>
      <c r="H39" s="225">
        <v>747033476</v>
      </c>
      <c r="I39" s="218">
        <v>913408000</v>
      </c>
      <c r="J39" s="281">
        <v>777024468.89120007</v>
      </c>
      <c r="K39" s="218">
        <v>932112500</v>
      </c>
      <c r="L39" s="225">
        <v>808653914.65569353</v>
      </c>
      <c r="M39" s="222">
        <v>951557500</v>
      </c>
      <c r="N39" s="238"/>
    </row>
    <row r="40" spans="1:14">
      <c r="A40" s="235">
        <v>5339</v>
      </c>
      <c r="B40" s="236" t="s">
        <v>234</v>
      </c>
      <c r="C40" s="237">
        <v>427800000</v>
      </c>
      <c r="D40" s="271">
        <v>427800000</v>
      </c>
      <c r="E40" s="271">
        <v>430000000</v>
      </c>
      <c r="F40" s="271">
        <v>436356000</v>
      </c>
      <c r="G40" s="271">
        <v>431850000</v>
      </c>
      <c r="H40" s="271">
        <v>445519476</v>
      </c>
      <c r="I40" s="271">
        <v>445120000</v>
      </c>
      <c r="J40" s="271">
        <v>454964488.89120007</v>
      </c>
      <c r="K40" s="282">
        <v>472326000</v>
      </c>
      <c r="L40" s="271">
        <v>464609736.05569351</v>
      </c>
      <c r="M40" s="247">
        <v>486210000</v>
      </c>
      <c r="N40" s="248"/>
    </row>
    <row r="41" spans="1:14">
      <c r="A41" s="242">
        <v>5339</v>
      </c>
      <c r="B41" s="249" t="s">
        <v>28</v>
      </c>
      <c r="C41" s="250">
        <v>362300000</v>
      </c>
      <c r="D41" s="271">
        <v>337300000</v>
      </c>
      <c r="E41" s="271">
        <v>364500000</v>
      </c>
      <c r="F41" s="271">
        <v>345856000</v>
      </c>
      <c r="G41" s="271">
        <v>366350000</v>
      </c>
      <c r="H41" s="271">
        <v>355019476</v>
      </c>
      <c r="I41" s="271">
        <v>379620000</v>
      </c>
      <c r="J41" s="271">
        <v>364464488.89120007</v>
      </c>
      <c r="K41" s="282">
        <v>406826000</v>
      </c>
      <c r="L41" s="271">
        <v>374109736.05569351</v>
      </c>
      <c r="M41" s="251">
        <v>420710000</v>
      </c>
      <c r="N41" s="252"/>
    </row>
    <row r="42" spans="1:14">
      <c r="A42" s="242">
        <v>5339</v>
      </c>
      <c r="B42" s="249" t="s">
        <v>235</v>
      </c>
      <c r="C42" s="250">
        <v>65500000</v>
      </c>
      <c r="D42" s="282">
        <v>90500000</v>
      </c>
      <c r="E42" s="271">
        <v>65500000</v>
      </c>
      <c r="F42" s="282">
        <v>90500000</v>
      </c>
      <c r="G42" s="271">
        <v>65500000</v>
      </c>
      <c r="H42" s="282">
        <v>90500000</v>
      </c>
      <c r="I42" s="271">
        <v>65500000</v>
      </c>
      <c r="J42" s="282">
        <v>90500000</v>
      </c>
      <c r="K42" s="282">
        <v>65500000</v>
      </c>
      <c r="L42" s="282">
        <v>90500000</v>
      </c>
      <c r="M42" s="251">
        <v>65500000</v>
      </c>
      <c r="N42" s="252"/>
    </row>
    <row r="43" spans="1:14">
      <c r="A43" s="235">
        <v>5339</v>
      </c>
      <c r="B43" s="236" t="s">
        <v>139</v>
      </c>
      <c r="C43" s="237"/>
      <c r="D43" s="271">
        <v>268000000</v>
      </c>
      <c r="E43" s="271">
        <v>352950000</v>
      </c>
      <c r="F43" s="271">
        <v>283600000</v>
      </c>
      <c r="G43" s="271">
        <v>462950000</v>
      </c>
      <c r="H43" s="271">
        <v>301514000</v>
      </c>
      <c r="I43" s="271">
        <v>468288000</v>
      </c>
      <c r="J43" s="271">
        <v>322059980</v>
      </c>
      <c r="K43" s="282">
        <v>458459000</v>
      </c>
      <c r="L43" s="271">
        <v>344044178.60000002</v>
      </c>
      <c r="M43" s="247">
        <v>484816000</v>
      </c>
      <c r="N43" s="248"/>
    </row>
    <row r="44" spans="1:14">
      <c r="A44" s="242">
        <v>5339</v>
      </c>
      <c r="B44" s="243" t="s">
        <v>138</v>
      </c>
      <c r="C44" s="244"/>
      <c r="D44" s="283" t="s">
        <v>247</v>
      </c>
      <c r="E44" s="239"/>
      <c r="F44" s="283" t="s">
        <v>247</v>
      </c>
      <c r="G44" s="239"/>
      <c r="H44" s="283" t="s">
        <v>247</v>
      </c>
      <c r="I44" s="239"/>
      <c r="J44" s="283" t="s">
        <v>247</v>
      </c>
      <c r="K44" s="283">
        <v>479231500</v>
      </c>
      <c r="L44" s="283" t="s">
        <v>247</v>
      </c>
      <c r="M44" s="245"/>
      <c r="N44" s="246"/>
    </row>
    <row r="45" spans="1:14">
      <c r="A45" s="214">
        <v>5340</v>
      </c>
      <c r="B45" s="215" t="s">
        <v>236</v>
      </c>
      <c r="C45" s="216">
        <v>525900000</v>
      </c>
      <c r="D45" s="218">
        <v>536261539</v>
      </c>
      <c r="E45" s="218"/>
      <c r="F45" s="218">
        <v>544433788.34500003</v>
      </c>
      <c r="G45" s="218"/>
      <c r="H45" s="218">
        <v>552783547.47797489</v>
      </c>
      <c r="I45" s="218"/>
      <c r="J45" s="281">
        <v>561315120.16139603</v>
      </c>
      <c r="K45" s="218"/>
      <c r="L45" s="225">
        <v>570032917.08188498</v>
      </c>
      <c r="M45" s="222"/>
      <c r="N45" s="238"/>
    </row>
    <row r="46" spans="1:14">
      <c r="A46" s="235">
        <v>5340</v>
      </c>
      <c r="B46" s="236" t="s">
        <v>18</v>
      </c>
      <c r="C46" s="237">
        <v>262950000</v>
      </c>
      <c r="D46" s="271">
        <v>272297082.5</v>
      </c>
      <c r="E46" s="288">
        <f t="shared" ref="E46:E47" si="10">E45*0.5</f>
        <v>0</v>
      </c>
      <c r="F46" s="271">
        <v>279129509.5625</v>
      </c>
      <c r="G46" s="288">
        <f t="shared" ref="G46:K46" si="11">G45*0.5</f>
        <v>0</v>
      </c>
      <c r="H46" s="271">
        <v>286132747.30156249</v>
      </c>
      <c r="I46" s="288">
        <f t="shared" si="11"/>
        <v>0</v>
      </c>
      <c r="J46" s="271">
        <v>293311065.98410153</v>
      </c>
      <c r="K46" s="288">
        <f t="shared" si="11"/>
        <v>0</v>
      </c>
      <c r="L46" s="271">
        <v>300668842.63370407</v>
      </c>
      <c r="M46" s="247">
        <v>284816000</v>
      </c>
      <c r="N46" s="248"/>
    </row>
    <row r="47" spans="1:14">
      <c r="A47" s="235">
        <v>5340</v>
      </c>
      <c r="B47" s="236" t="s">
        <v>17</v>
      </c>
      <c r="C47" s="237">
        <v>262950000</v>
      </c>
      <c r="D47" s="271">
        <v>263964456.49999997</v>
      </c>
      <c r="E47" s="288">
        <f t="shared" si="10"/>
        <v>0</v>
      </c>
      <c r="F47" s="271">
        <v>265304278.78249997</v>
      </c>
      <c r="G47" s="288">
        <f t="shared" ref="G47:K47" si="12">G45*0.5</f>
        <v>0</v>
      </c>
      <c r="H47" s="271">
        <v>266650800.17641246</v>
      </c>
      <c r="I47" s="288">
        <f t="shared" si="12"/>
        <v>0</v>
      </c>
      <c r="J47" s="271">
        <v>268004054.17729449</v>
      </c>
      <c r="K47" s="288">
        <f t="shared" si="12"/>
        <v>0</v>
      </c>
      <c r="L47" s="271">
        <v>269364074.44818091</v>
      </c>
      <c r="M47" s="247"/>
      <c r="N47" s="248"/>
    </row>
    <row r="48" spans="1:14">
      <c r="A48" s="235"/>
      <c r="B48" s="278" t="s">
        <v>248</v>
      </c>
      <c r="C48" s="237"/>
      <c r="D48" s="284"/>
      <c r="E48" s="285"/>
      <c r="F48" s="277">
        <v>199000000</v>
      </c>
      <c r="G48" s="285"/>
      <c r="H48" s="254"/>
      <c r="I48" s="285"/>
      <c r="J48" s="256"/>
      <c r="K48" s="286"/>
      <c r="L48" s="255"/>
      <c r="M48" s="257"/>
      <c r="N48" s="258"/>
    </row>
    <row r="49" spans="1:14">
      <c r="A49" s="302" t="s">
        <v>175</v>
      </c>
      <c r="B49" s="302"/>
      <c r="C49" s="302"/>
      <c r="D49" s="303"/>
      <c r="E49" s="303"/>
      <c r="F49" s="303"/>
      <c r="G49" s="303"/>
      <c r="H49" s="303"/>
      <c r="I49" s="303"/>
      <c r="J49" s="303"/>
      <c r="K49" s="303"/>
      <c r="L49" s="303"/>
      <c r="M49" s="303"/>
      <c r="N49" s="304"/>
    </row>
    <row r="50" spans="1:14">
      <c r="A50" s="226">
        <v>5308</v>
      </c>
      <c r="B50" s="259" t="s">
        <v>237</v>
      </c>
      <c r="C50" s="228"/>
      <c r="D50" s="260">
        <v>0</v>
      </c>
      <c r="E50" s="261"/>
      <c r="F50" s="262"/>
      <c r="G50" s="261"/>
      <c r="H50" s="262">
        <v>0</v>
      </c>
      <c r="I50" s="261"/>
      <c r="J50" s="263">
        <v>0</v>
      </c>
      <c r="K50" s="231"/>
      <c r="L50" s="263"/>
      <c r="M50" s="231"/>
      <c r="N50" s="234"/>
    </row>
    <row r="51" spans="1:14">
      <c r="A51" s="226">
        <v>5309</v>
      </c>
      <c r="B51" s="259" t="s">
        <v>20</v>
      </c>
      <c r="C51" s="228">
        <v>2120000000</v>
      </c>
      <c r="D51" s="218">
        <v>2301785760</v>
      </c>
      <c r="E51" s="218">
        <v>2029000000</v>
      </c>
      <c r="F51" s="218">
        <v>2301785760</v>
      </c>
      <c r="G51" s="218">
        <v>2065000000</v>
      </c>
      <c r="H51" s="218">
        <v>2301785760</v>
      </c>
      <c r="I51" s="218">
        <v>2106000000</v>
      </c>
      <c r="J51" s="218">
        <v>2301785760</v>
      </c>
      <c r="K51" s="218">
        <v>2149000000</v>
      </c>
      <c r="L51" s="218">
        <v>2301785760</v>
      </c>
      <c r="M51" s="231">
        <v>2193000000</v>
      </c>
      <c r="N51" s="234"/>
    </row>
    <row r="52" spans="1:14">
      <c r="A52" s="226">
        <v>5312</v>
      </c>
      <c r="B52" s="259" t="s">
        <v>238</v>
      </c>
      <c r="C52" s="228">
        <v>33000000</v>
      </c>
      <c r="D52" s="218">
        <v>20000000</v>
      </c>
      <c r="E52" s="218">
        <v>33495000</v>
      </c>
      <c r="F52" s="218">
        <v>20000000</v>
      </c>
      <c r="G52" s="218">
        <v>34091000</v>
      </c>
      <c r="H52" s="218">
        <v>20000000</v>
      </c>
      <c r="I52" s="218">
        <v>34783000</v>
      </c>
      <c r="J52" s="218">
        <v>20000000</v>
      </c>
      <c r="K52" s="218">
        <v>35479000</v>
      </c>
      <c r="L52" s="218">
        <v>20000000</v>
      </c>
      <c r="M52" s="231">
        <v>36202000</v>
      </c>
      <c r="N52" s="234"/>
    </row>
    <row r="53" spans="1:14">
      <c r="A53" s="226">
        <v>5314</v>
      </c>
      <c r="B53" s="259" t="s">
        <v>239</v>
      </c>
      <c r="C53" s="228">
        <v>4000000</v>
      </c>
      <c r="D53" s="218">
        <v>5000000</v>
      </c>
      <c r="E53" s="218">
        <v>6156000</v>
      </c>
      <c r="F53" s="218">
        <v>5000000</v>
      </c>
      <c r="G53" s="218">
        <v>8152000</v>
      </c>
      <c r="H53" s="218">
        <v>5000000</v>
      </c>
      <c r="I53" s="218">
        <v>10468000</v>
      </c>
      <c r="J53" s="218">
        <v>5000000</v>
      </c>
      <c r="K53" s="218">
        <v>12796000</v>
      </c>
      <c r="L53" s="218">
        <v>5000000</v>
      </c>
      <c r="M53" s="231">
        <v>15216000</v>
      </c>
      <c r="N53" s="234"/>
    </row>
    <row r="54" spans="1:14">
      <c r="A54" s="226">
        <v>5322</v>
      </c>
      <c r="B54" s="259" t="s">
        <v>240</v>
      </c>
      <c r="C54" s="228">
        <v>500000</v>
      </c>
      <c r="D54" s="218"/>
      <c r="E54" s="218"/>
      <c r="F54" s="218"/>
      <c r="G54" s="218"/>
      <c r="H54" s="218"/>
      <c r="I54" s="218"/>
      <c r="J54" s="218"/>
      <c r="K54" s="218"/>
      <c r="L54" s="218"/>
      <c r="M54" s="231"/>
      <c r="N54" s="234"/>
    </row>
    <row r="55" spans="1:14">
      <c r="A55" s="226">
        <v>5334</v>
      </c>
      <c r="B55" s="259" t="s">
        <v>19</v>
      </c>
      <c r="C55" s="228">
        <v>105933000</v>
      </c>
      <c r="D55" s="218">
        <v>115016543</v>
      </c>
      <c r="E55" s="218">
        <v>105933000</v>
      </c>
      <c r="F55" s="218">
        <v>115016543</v>
      </c>
      <c r="G55" s="218">
        <v>105933000</v>
      </c>
      <c r="H55" s="218">
        <v>115016543</v>
      </c>
      <c r="I55" s="218">
        <v>105933000</v>
      </c>
      <c r="J55" s="218">
        <v>115016543</v>
      </c>
      <c r="K55" s="218">
        <v>105933000</v>
      </c>
      <c r="L55" s="218">
        <v>115016543</v>
      </c>
      <c r="M55" s="261">
        <v>105933000</v>
      </c>
      <c r="N55" s="234"/>
    </row>
    <row r="56" spans="1:14">
      <c r="A56" s="226">
        <v>5329</v>
      </c>
      <c r="B56" s="259" t="s">
        <v>241</v>
      </c>
      <c r="C56" s="228">
        <v>5000000</v>
      </c>
      <c r="D56" s="271">
        <v>5000000</v>
      </c>
      <c r="E56" s="271"/>
      <c r="F56" s="271">
        <v>5000000</v>
      </c>
      <c r="G56" s="271"/>
      <c r="H56" s="271">
        <v>5000000</v>
      </c>
      <c r="I56" s="271"/>
      <c r="J56" s="271">
        <v>5000000</v>
      </c>
      <c r="K56" s="271"/>
      <c r="L56" s="271">
        <v>5000000</v>
      </c>
      <c r="M56" s="231"/>
      <c r="N56" s="234"/>
    </row>
    <row r="57" spans="1:14">
      <c r="A57" s="226">
        <v>5326</v>
      </c>
      <c r="B57" s="259" t="s">
        <v>156</v>
      </c>
      <c r="C57" s="228">
        <v>2000000</v>
      </c>
      <c r="D57" s="271">
        <v>2000000</v>
      </c>
      <c r="E57" s="271"/>
      <c r="F57" s="271">
        <v>2000000</v>
      </c>
      <c r="G57" s="271"/>
      <c r="H57" s="271">
        <v>2000000</v>
      </c>
      <c r="I57" s="271"/>
      <c r="J57" s="271">
        <v>2000000</v>
      </c>
      <c r="K57" s="271"/>
      <c r="L57" s="271">
        <v>2000000</v>
      </c>
      <c r="M57" s="231"/>
      <c r="N57" s="234"/>
    </row>
    <row r="58" spans="1:14">
      <c r="A58" s="226"/>
      <c r="B58" s="259"/>
      <c r="C58" s="228"/>
      <c r="D58" s="264"/>
      <c r="E58" s="261"/>
      <c r="F58" s="265"/>
      <c r="G58" s="261"/>
      <c r="H58" s="265"/>
      <c r="I58" s="261"/>
      <c r="J58" s="230"/>
      <c r="K58" s="231"/>
      <c r="L58" s="230"/>
      <c r="M58" s="231"/>
      <c r="N58" s="234"/>
    </row>
    <row r="59" spans="1:14">
      <c r="A59" s="214"/>
      <c r="B59" s="240"/>
      <c r="C59" s="216">
        <v>2270433000</v>
      </c>
      <c r="D59" s="221"/>
      <c r="E59" s="222"/>
      <c r="F59" s="266"/>
      <c r="G59" s="219"/>
      <c r="H59" s="267"/>
      <c r="I59" s="219"/>
      <c r="J59" s="225"/>
      <c r="K59" s="222"/>
      <c r="L59" s="268"/>
      <c r="M59" s="222"/>
      <c r="N59" s="238"/>
    </row>
    <row r="61" spans="1:14">
      <c r="D61" s="272">
        <f>D8+D11+D15+D17+D36+D39+D45</f>
        <v>9291604639</v>
      </c>
      <c r="F61" s="272">
        <f t="shared" ref="F61:K61" si="13">F8+F11+F15+F17+F36+F39+F45</f>
        <v>9477706043.1449986</v>
      </c>
      <c r="G61" s="272">
        <f t="shared" si="13"/>
        <v>8478411000</v>
      </c>
      <c r="H61" s="272">
        <f t="shared" si="13"/>
        <v>9676103407.1287727</v>
      </c>
      <c r="I61" s="272">
        <f t="shared" si="13"/>
        <v>8769321000</v>
      </c>
      <c r="J61" s="272">
        <f t="shared" si="13"/>
        <v>9881880029.8067932</v>
      </c>
      <c r="K61" s="272">
        <f t="shared" si="13"/>
        <v>8945143500</v>
      </c>
      <c r="L61" s="279">
        <f>L8+L11+L15+L17+L36+L39+L45</f>
        <v>10092848462.401009</v>
      </c>
    </row>
    <row r="63" spans="1:14">
      <c r="D63" s="279"/>
      <c r="F63" s="279"/>
      <c r="G63" s="279"/>
      <c r="H63" s="279"/>
      <c r="I63" s="279"/>
      <c r="J63" s="279"/>
      <c r="K63" s="279"/>
      <c r="L63" s="279"/>
    </row>
  </sheetData>
  <mergeCells count="4">
    <mergeCell ref="A3:C3"/>
    <mergeCell ref="D3:K3"/>
    <mergeCell ref="A49:C49"/>
    <mergeCell ref="D49:N49"/>
  </mergeCells>
  <pageMargins left="0.7" right="0.7" top="0.75" bottom="0.75" header="0.3" footer="0.3"/>
  <pageSetup paperSize="3" scale="70" fitToWidth="0"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workbookViewId="0">
      <pane xSplit="1" topLeftCell="N1" activePane="topRight" state="frozen"/>
      <selection pane="topRight" activeCell="T37" sqref="T37"/>
    </sheetView>
  </sheetViews>
  <sheetFormatPr baseColWidth="10" defaultColWidth="21" defaultRowHeight="14" x14ac:dyDescent="0"/>
  <cols>
    <col min="1" max="1" width="62.33203125" customWidth="1"/>
    <col min="2" max="2" width="20.83203125" customWidth="1"/>
    <col min="3" max="3" width="19.1640625" customWidth="1"/>
    <col min="4" max="4" width="19.6640625" customWidth="1"/>
    <col min="5" max="5" width="15.33203125" customWidth="1"/>
    <col min="6" max="6" width="18.83203125" style="9" customWidth="1"/>
    <col min="7" max="7" width="22.5" style="9" customWidth="1"/>
    <col min="8" max="8" width="18.5" customWidth="1"/>
    <col min="9" max="9" width="20.1640625" style="15" customWidth="1"/>
    <col min="10" max="10" width="23.6640625" style="15" customWidth="1"/>
    <col min="11" max="11" width="24.33203125" customWidth="1"/>
    <col min="12" max="12" width="22" customWidth="1"/>
    <col min="13" max="13" width="20.33203125" customWidth="1"/>
    <col min="14" max="14" width="21.5" customWidth="1"/>
    <col min="15" max="15" width="19.5" customWidth="1"/>
    <col min="16" max="16" width="20.33203125" customWidth="1"/>
    <col min="17" max="17" width="16.33203125" customWidth="1"/>
    <col min="18" max="18" width="15.33203125" customWidth="1"/>
    <col min="19" max="19" width="19.5" customWidth="1"/>
    <col min="20" max="22" width="16.83203125" customWidth="1"/>
    <col min="23" max="23" width="5.1640625" customWidth="1"/>
  </cols>
  <sheetData>
    <row r="1" spans="1:22" ht="24.75" customHeight="1">
      <c r="A1" s="6"/>
      <c r="B1" s="3" t="s">
        <v>29</v>
      </c>
      <c r="C1" s="3" t="s">
        <v>32</v>
      </c>
      <c r="D1" s="3" t="s">
        <v>33</v>
      </c>
      <c r="E1" s="3">
        <v>2016</v>
      </c>
      <c r="F1" s="12" t="s">
        <v>31</v>
      </c>
      <c r="G1" s="12" t="s">
        <v>33</v>
      </c>
      <c r="H1" s="3">
        <v>2017</v>
      </c>
      <c r="I1" s="14" t="s">
        <v>31</v>
      </c>
      <c r="J1" s="69" t="s">
        <v>33</v>
      </c>
      <c r="K1" s="3">
        <v>2018</v>
      </c>
      <c r="L1" s="11" t="s">
        <v>31</v>
      </c>
      <c r="M1" s="69" t="s">
        <v>33</v>
      </c>
      <c r="N1" s="3">
        <v>2019</v>
      </c>
      <c r="O1" s="11" t="s">
        <v>31</v>
      </c>
      <c r="P1" s="69" t="s">
        <v>33</v>
      </c>
      <c r="Q1" s="3">
        <v>2020</v>
      </c>
      <c r="R1" s="11" t="s">
        <v>31</v>
      </c>
      <c r="S1" s="69" t="s">
        <v>33</v>
      </c>
      <c r="T1" s="3">
        <v>2021</v>
      </c>
      <c r="U1" s="11" t="s">
        <v>31</v>
      </c>
      <c r="V1" s="11" t="s">
        <v>34</v>
      </c>
    </row>
    <row r="2" spans="1:22" s="82" customFormat="1">
      <c r="A2" s="103" t="s">
        <v>146</v>
      </c>
      <c r="B2" s="103"/>
      <c r="C2" s="103"/>
      <c r="D2" s="103"/>
      <c r="E2" s="103">
        <f>E3+E8+E9+E10+E11+E19+E24+E25+E26+E29+E33+E34+E41+E48+E49</f>
        <v>8671059000</v>
      </c>
      <c r="F2" s="103"/>
      <c r="G2" s="103">
        <f>G3+G8+G9+G10+G11+G19+G24+G25+G26+G29+G33+G34+G41+G48+G49</f>
        <v>6206686850</v>
      </c>
      <c r="H2" s="103">
        <f>H3+H8+H9+H10+H11+H19+H24+H25+H26+H29+H33+H34+H41+H48+H49</f>
        <v>8717302000</v>
      </c>
      <c r="I2" s="103"/>
      <c r="J2" s="103">
        <f>J3+J8+J9+J10+J11+J19+J24+J25+J26+J29+J33+J34+J41+J48+J49</f>
        <v>6217165645</v>
      </c>
      <c r="K2" s="103">
        <f>K3+K8+K9+K10+K11+K19+K24+K25+K26+K29+K33+K34+K41+K48+K49</f>
        <v>8898242000</v>
      </c>
      <c r="L2" s="103"/>
      <c r="M2" s="103">
        <f>M3+M8+M9+M10+M11+M19+M24+M25+M26+M29+M33+M34+M41+M48+M49</f>
        <v>6352473498.5</v>
      </c>
      <c r="N2" s="103">
        <f>N3+N8+N9+N10+N11+N19+N24+N25+N26+N29+N33+N34+N41+N48+N49</f>
        <v>9084126000</v>
      </c>
      <c r="O2" s="103"/>
      <c r="P2" s="103">
        <f>P3+P8+P9+P10+P11+P19+P24+P25+P26+P29+P33+P34+P41+P48+P49</f>
        <v>6484465634.5</v>
      </c>
      <c r="Q2" s="103">
        <f>Q3+Q8+Q9+Q10+Q11+Q19+Q24+Q25+Q26+Q29+Q33+Q34+Q41+Q48+Q49</f>
        <v>9273202000</v>
      </c>
      <c r="R2" s="103"/>
      <c r="S2" s="103"/>
      <c r="T2" s="103">
        <f>T3+T8+T9+T10+T11+T19+T24+T25+T26+T29+T33+T34+T41+T48+T49</f>
        <v>9462506000</v>
      </c>
      <c r="U2" s="103"/>
      <c r="V2" s="103"/>
    </row>
    <row r="3" spans="1:22" s="83" customFormat="1">
      <c r="A3" s="78" t="s">
        <v>16</v>
      </c>
      <c r="B3" s="79">
        <f>SUM(B4:B5)</f>
        <v>427800000</v>
      </c>
      <c r="C3" s="80">
        <v>0</v>
      </c>
      <c r="D3" s="80">
        <v>0</v>
      </c>
      <c r="E3" s="79">
        <v>430000000</v>
      </c>
      <c r="F3" s="80">
        <f>E3*0.0075</f>
        <v>3225000</v>
      </c>
      <c r="G3" s="80">
        <f>E3-F3</f>
        <v>426775000</v>
      </c>
      <c r="H3" s="79">
        <v>431850000</v>
      </c>
      <c r="I3" s="80">
        <f>H3*0.0075</f>
        <v>3238875</v>
      </c>
      <c r="J3" s="80">
        <f>H3-I3</f>
        <v>428611125</v>
      </c>
      <c r="K3" s="79">
        <v>445120000</v>
      </c>
      <c r="L3" s="80">
        <f>K3*0.0075</f>
        <v>3338400</v>
      </c>
      <c r="M3" s="80">
        <f>K3-L3</f>
        <v>441781600</v>
      </c>
      <c r="N3" s="79">
        <v>458459000</v>
      </c>
      <c r="O3" s="80">
        <f>N3*0.0075</f>
        <v>3438442.5</v>
      </c>
      <c r="P3" s="80">
        <f>N3-O3</f>
        <v>455020557.5</v>
      </c>
      <c r="Q3" s="79">
        <v>472326000</v>
      </c>
      <c r="R3" s="80">
        <f>Q3*0.0075</f>
        <v>3542445</v>
      </c>
      <c r="S3" s="80">
        <f>Q3-R3</f>
        <v>468783555</v>
      </c>
      <c r="T3" s="79">
        <v>486210000</v>
      </c>
      <c r="U3" s="80">
        <f>T3*0.0075</f>
        <v>3646575</v>
      </c>
      <c r="V3" s="80">
        <f>T3-U3</f>
        <v>482563425</v>
      </c>
    </row>
    <row r="4" spans="1:22" s="18" customFormat="1">
      <c r="A4" s="16" t="s">
        <v>28</v>
      </c>
      <c r="B4" s="17">
        <v>362300000</v>
      </c>
      <c r="C4" s="44">
        <v>0</v>
      </c>
      <c r="D4" s="129">
        <f>B4</f>
        <v>362300000</v>
      </c>
      <c r="E4" s="17">
        <f>E3-E5-E7</f>
        <v>364500000</v>
      </c>
      <c r="F4" s="77">
        <f>F3</f>
        <v>3225000</v>
      </c>
      <c r="G4" s="129">
        <f>E4-F4</f>
        <v>361275000</v>
      </c>
      <c r="H4" s="70">
        <f>H3-H5-H7</f>
        <v>366350000</v>
      </c>
      <c r="I4" s="77">
        <f>I3</f>
        <v>3238875</v>
      </c>
      <c r="J4" s="129">
        <f>H4-I4</f>
        <v>363111125</v>
      </c>
      <c r="K4" s="70">
        <f>K3-K5-K7</f>
        <v>379620000</v>
      </c>
      <c r="L4" s="77">
        <f>L3</f>
        <v>3338400</v>
      </c>
      <c r="M4" s="129">
        <f>K4-L4</f>
        <v>376281600</v>
      </c>
      <c r="N4" s="70">
        <f>N3-N5-N7</f>
        <v>392959000</v>
      </c>
      <c r="O4" s="77">
        <f>O3</f>
        <v>3438442.5</v>
      </c>
      <c r="P4" s="129">
        <f>N4-O4</f>
        <v>389520557.5</v>
      </c>
      <c r="Q4" s="70">
        <f>Q3-Q5-Q7</f>
        <v>406826000</v>
      </c>
      <c r="R4" s="77">
        <f>R3</f>
        <v>3542445</v>
      </c>
      <c r="S4" s="129">
        <f>Q4-R4</f>
        <v>403283555</v>
      </c>
      <c r="T4" s="70">
        <f>T3-T5-T7</f>
        <v>420710000</v>
      </c>
      <c r="U4" s="77">
        <f>U3</f>
        <v>3646575</v>
      </c>
      <c r="V4" s="129">
        <f>T4-U4</f>
        <v>417063425</v>
      </c>
    </row>
    <row r="5" spans="1:22" s="18" customFormat="1">
      <c r="A5" s="16" t="s">
        <v>27</v>
      </c>
      <c r="B5" s="17">
        <v>65500000</v>
      </c>
      <c r="C5" s="44">
        <v>0</v>
      </c>
      <c r="D5" s="44">
        <f>B5</f>
        <v>65500000</v>
      </c>
      <c r="E5" s="17">
        <v>65500000</v>
      </c>
      <c r="F5" s="77">
        <v>0</v>
      </c>
      <c r="G5" s="77">
        <v>65500000</v>
      </c>
      <c r="H5" s="17">
        <v>65500000</v>
      </c>
      <c r="I5" s="77">
        <v>0</v>
      </c>
      <c r="J5" s="77">
        <f>H5</f>
        <v>65500000</v>
      </c>
      <c r="K5" s="17">
        <v>65500000</v>
      </c>
      <c r="L5" s="77">
        <v>0</v>
      </c>
      <c r="M5" s="77">
        <f>K5</f>
        <v>65500000</v>
      </c>
      <c r="N5" s="17">
        <v>65500000</v>
      </c>
      <c r="O5" s="77">
        <v>0</v>
      </c>
      <c r="P5" s="77">
        <f>N5</f>
        <v>65500000</v>
      </c>
      <c r="Q5" s="17">
        <v>65500000</v>
      </c>
      <c r="R5" s="77">
        <v>0</v>
      </c>
      <c r="S5" s="77">
        <f>Q5</f>
        <v>65500000</v>
      </c>
      <c r="T5" s="17">
        <v>65500000</v>
      </c>
      <c r="U5" s="77">
        <v>0</v>
      </c>
      <c r="V5" s="77">
        <f>T5</f>
        <v>65500000</v>
      </c>
    </row>
    <row r="6" spans="1:22" s="71" customFormat="1">
      <c r="A6" s="89" t="s">
        <v>138</v>
      </c>
      <c r="B6" s="70"/>
      <c r="C6" s="77"/>
      <c r="D6" s="77"/>
      <c r="E6" s="81"/>
      <c r="F6" s="77"/>
      <c r="G6" s="77"/>
      <c r="H6" s="81"/>
      <c r="I6" s="77"/>
      <c r="J6" s="77"/>
      <c r="K6" s="81"/>
      <c r="L6" s="77"/>
      <c r="M6" s="77"/>
      <c r="N6" s="81"/>
      <c r="O6" s="77"/>
      <c r="P6" s="77"/>
      <c r="Q6" s="81"/>
      <c r="R6" s="77"/>
      <c r="S6" s="77"/>
      <c r="T6" s="81"/>
      <c r="U6" s="77"/>
      <c r="V6" s="77"/>
    </row>
    <row r="7" spans="1:22" s="71" customFormat="1">
      <c r="A7" s="88" t="s">
        <v>139</v>
      </c>
      <c r="B7" s="70"/>
      <c r="C7" s="77"/>
      <c r="D7" s="77"/>
      <c r="E7" s="70"/>
      <c r="F7" s="77"/>
      <c r="G7" s="77"/>
      <c r="H7" s="70"/>
      <c r="I7" s="77"/>
      <c r="J7" s="77"/>
      <c r="K7" s="70"/>
      <c r="L7" s="77"/>
      <c r="M7" s="77"/>
      <c r="N7" s="70"/>
      <c r="O7" s="77"/>
      <c r="P7" s="77"/>
      <c r="Q7" s="70"/>
      <c r="R7" s="77"/>
      <c r="S7" s="77"/>
      <c r="T7" s="70"/>
      <c r="U7" s="77"/>
      <c r="V7" s="77"/>
    </row>
    <row r="8" spans="1:22">
      <c r="A8" s="78" t="s">
        <v>11</v>
      </c>
      <c r="B8" s="79">
        <v>3000000</v>
      </c>
      <c r="C8" s="80"/>
      <c r="D8" s="80">
        <v>0</v>
      </c>
      <c r="E8" s="79">
        <v>3000000</v>
      </c>
      <c r="F8" s="80"/>
      <c r="G8" s="80">
        <v>0</v>
      </c>
      <c r="H8" s="79">
        <v>3000000</v>
      </c>
      <c r="I8" s="80"/>
      <c r="J8" s="80">
        <v>0</v>
      </c>
      <c r="K8" s="79">
        <v>3000000</v>
      </c>
      <c r="L8" s="80"/>
      <c r="M8" s="80">
        <v>0</v>
      </c>
      <c r="N8" s="79">
        <v>3000000</v>
      </c>
      <c r="O8" s="80"/>
      <c r="P8" s="80">
        <v>0</v>
      </c>
      <c r="Q8" s="79">
        <v>3000000</v>
      </c>
      <c r="R8" s="80"/>
      <c r="S8" s="80">
        <v>0</v>
      </c>
      <c r="T8" s="79">
        <v>3000000</v>
      </c>
      <c r="U8" s="80"/>
      <c r="V8" s="80">
        <v>0</v>
      </c>
    </row>
    <row r="9" spans="1:22" s="83" customFormat="1">
      <c r="A9" s="78" t="s">
        <v>7</v>
      </c>
      <c r="B9" s="127">
        <v>258300000</v>
      </c>
      <c r="C9" s="80">
        <f>B9*0.005</f>
        <v>1291500</v>
      </c>
      <c r="D9" s="129">
        <f>B9-C9</f>
        <v>257008500</v>
      </c>
      <c r="E9" s="79">
        <v>262175000</v>
      </c>
      <c r="F9" s="80">
        <f>E9*0.005</f>
        <v>1310875</v>
      </c>
      <c r="G9" s="129">
        <f>E9-F9</f>
        <v>260864125</v>
      </c>
      <c r="H9" s="79">
        <v>266841000</v>
      </c>
      <c r="I9" s="80">
        <f>H9*0.005</f>
        <v>1334205</v>
      </c>
      <c r="J9" s="129">
        <f>H9-I9</f>
        <v>265506795</v>
      </c>
      <c r="K9" s="79">
        <v>272258000</v>
      </c>
      <c r="L9" s="80">
        <f>K9*0.005</f>
        <v>1361290</v>
      </c>
      <c r="M9" s="129">
        <f>K9-L9</f>
        <v>270896710</v>
      </c>
      <c r="N9" s="79">
        <v>277703000</v>
      </c>
      <c r="O9" s="80">
        <f>N9*0.005</f>
        <v>1388515</v>
      </c>
      <c r="P9" s="129">
        <f>N9-O9</f>
        <v>276314485</v>
      </c>
      <c r="Q9" s="79">
        <v>283364000</v>
      </c>
      <c r="R9" s="80">
        <f>Q9*0.005</f>
        <v>1416820</v>
      </c>
      <c r="S9" s="129">
        <f>Q9-R9</f>
        <v>281947180</v>
      </c>
      <c r="T9" s="79">
        <v>289031000</v>
      </c>
      <c r="U9" s="80">
        <f>T9*0.005</f>
        <v>1445155</v>
      </c>
      <c r="V9" s="129">
        <f>T9-U9</f>
        <v>287585845</v>
      </c>
    </row>
    <row r="10" spans="1:22" s="83" customFormat="1">
      <c r="A10" s="78" t="s">
        <v>147</v>
      </c>
      <c r="B10" s="79"/>
      <c r="C10" s="80"/>
      <c r="D10" s="80"/>
      <c r="E10" s="79"/>
      <c r="F10" s="80"/>
      <c r="G10" s="80"/>
      <c r="H10" s="79"/>
      <c r="I10" s="80"/>
      <c r="J10" s="80"/>
      <c r="K10" s="79"/>
      <c r="L10" s="80"/>
      <c r="M10" s="80"/>
      <c r="N10" s="79"/>
      <c r="O10" s="80"/>
      <c r="P10" s="80"/>
      <c r="Q10" s="79"/>
      <c r="R10" s="80"/>
      <c r="S10" s="80"/>
      <c r="T10" s="79"/>
      <c r="U10" s="80"/>
      <c r="V10" s="80"/>
    </row>
    <row r="11" spans="1:22" s="83" customFormat="1">
      <c r="A11" s="78" t="s">
        <v>8</v>
      </c>
      <c r="B11" s="79">
        <v>607800000</v>
      </c>
      <c r="C11" s="80">
        <f>B11*0.005</f>
        <v>3039000</v>
      </c>
      <c r="D11" s="80">
        <f>(B11-C11-B14)-5000000</f>
        <v>597937600</v>
      </c>
      <c r="E11" s="79">
        <v>607800000</v>
      </c>
      <c r="F11" s="80">
        <f>E11*0.005</f>
        <v>3039000</v>
      </c>
      <c r="G11" s="80">
        <f>(E11-F11-E14-E16)</f>
        <v>597937600</v>
      </c>
      <c r="H11" s="79">
        <v>607800000</v>
      </c>
      <c r="I11" s="80">
        <f>H11*0.005</f>
        <v>3039000</v>
      </c>
      <c r="J11" s="80">
        <f>(H11-I11-H14-H16)</f>
        <v>597937600</v>
      </c>
      <c r="K11" s="79">
        <v>620138000</v>
      </c>
      <c r="L11" s="80">
        <f>K11*0.005</f>
        <v>3100690</v>
      </c>
      <c r="M11" s="80">
        <f>(K11-L11-K14-K16)</f>
        <v>610176896</v>
      </c>
      <c r="N11" s="79">
        <v>632541000</v>
      </c>
      <c r="O11" s="80">
        <f>N11*0.005</f>
        <v>3162705</v>
      </c>
      <c r="P11" s="80">
        <f>(N11-O11-N14-N16)</f>
        <v>622480672</v>
      </c>
      <c r="Q11" s="79">
        <v>645434000</v>
      </c>
      <c r="R11" s="80">
        <f>Q11*0.005</f>
        <v>3227170</v>
      </c>
      <c r="S11" s="80">
        <f>(Q11-R11-Q14-Q16)</f>
        <v>635270528</v>
      </c>
      <c r="T11" s="79">
        <v>658343000</v>
      </c>
      <c r="U11" s="80">
        <f>T11*0.005</f>
        <v>3291715</v>
      </c>
      <c r="V11" s="80">
        <f>(T11-U11-T14-T16)</f>
        <v>648076256</v>
      </c>
    </row>
    <row r="12" spans="1:22" s="83" customFormat="1">
      <c r="A12" s="86" t="s">
        <v>10</v>
      </c>
      <c r="B12" s="84">
        <v>20000000</v>
      </c>
      <c r="C12" s="87">
        <v>0</v>
      </c>
      <c r="D12" s="87">
        <v>20000000</v>
      </c>
      <c r="E12" s="84">
        <v>20000000</v>
      </c>
      <c r="F12" s="87">
        <v>0</v>
      </c>
      <c r="G12" s="87">
        <v>20000000</v>
      </c>
      <c r="H12" s="84">
        <v>20000000</v>
      </c>
      <c r="I12" s="87">
        <v>0</v>
      </c>
      <c r="J12" s="87">
        <v>20000000</v>
      </c>
      <c r="K12" s="84">
        <v>20000000</v>
      </c>
      <c r="L12" s="87">
        <v>0</v>
      </c>
      <c r="M12" s="87">
        <v>20000000</v>
      </c>
      <c r="N12" s="84">
        <v>20000000</v>
      </c>
      <c r="O12" s="87">
        <v>0</v>
      </c>
      <c r="P12" s="87">
        <v>20000000</v>
      </c>
      <c r="Q12" s="84">
        <v>20000000</v>
      </c>
      <c r="R12" s="87">
        <v>0</v>
      </c>
      <c r="S12" s="87">
        <v>20000000</v>
      </c>
      <c r="T12" s="84">
        <v>20000000</v>
      </c>
      <c r="U12" s="87">
        <v>0</v>
      </c>
      <c r="V12" s="87">
        <v>20000000</v>
      </c>
    </row>
    <row r="13" spans="1:22" s="83" customFormat="1">
      <c r="A13" s="86" t="s">
        <v>8</v>
      </c>
      <c r="B13" s="84">
        <f>B11-B12-B14-B15-B16-B17</f>
        <v>545644000</v>
      </c>
      <c r="C13" s="87">
        <f>C11</f>
        <v>3039000</v>
      </c>
      <c r="D13" s="87">
        <v>502605000</v>
      </c>
      <c r="E13" s="84">
        <f>E11-E12-E14-E15-E16-E17</f>
        <v>545644000</v>
      </c>
      <c r="F13" s="87">
        <f>F11</f>
        <v>3039000</v>
      </c>
      <c r="G13" s="87">
        <f>E13-F13</f>
        <v>542605000</v>
      </c>
      <c r="H13" s="84">
        <f>H11-H12-H14-H15-H16-H17</f>
        <v>545644000</v>
      </c>
      <c r="I13" s="87">
        <f>I11</f>
        <v>3039000</v>
      </c>
      <c r="J13" s="87">
        <f>H13-I13</f>
        <v>542605000</v>
      </c>
      <c r="K13" s="84">
        <f>K11-K12-K14-K15-K16-K17</f>
        <v>557735240</v>
      </c>
      <c r="L13" s="87">
        <f>L11</f>
        <v>3100690</v>
      </c>
      <c r="M13" s="87">
        <f>K13-L13</f>
        <v>554634550</v>
      </c>
      <c r="N13" s="84">
        <f>N11-N12-N14-N15-N16-N17</f>
        <v>569890180</v>
      </c>
      <c r="O13" s="87">
        <f>O11</f>
        <v>3162705</v>
      </c>
      <c r="P13" s="87">
        <f>N13-O13</f>
        <v>566727475</v>
      </c>
      <c r="Q13" s="84">
        <f>Q11-Q12-Q14-Q15-Q16-Q17</f>
        <v>582525320</v>
      </c>
      <c r="R13" s="87">
        <f>R11</f>
        <v>3227170</v>
      </c>
      <c r="S13" s="87">
        <f>Q13-R13</f>
        <v>579298150</v>
      </c>
      <c r="T13" s="84">
        <f>T11-T12-T14-T15-T16-T17</f>
        <v>595176140</v>
      </c>
      <c r="U13" s="87">
        <f>U11</f>
        <v>3291715</v>
      </c>
      <c r="V13" s="87">
        <f>T13-U13</f>
        <v>591884425</v>
      </c>
    </row>
    <row r="14" spans="1:22" s="83" customFormat="1">
      <c r="A14" s="86" t="s">
        <v>148</v>
      </c>
      <c r="B14" s="84">
        <f>(B11*0.02)*0.15</f>
        <v>1823400</v>
      </c>
      <c r="C14" s="87">
        <v>0</v>
      </c>
      <c r="D14" s="87">
        <v>0</v>
      </c>
      <c r="E14" s="84">
        <f>(E11*0.02)*0.15</f>
        <v>1823400</v>
      </c>
      <c r="F14" s="87">
        <v>0</v>
      </c>
      <c r="G14" s="87">
        <v>0</v>
      </c>
      <c r="H14" s="84">
        <f>(H11*0.02)*0.15</f>
        <v>1823400</v>
      </c>
      <c r="I14" s="87">
        <v>0</v>
      </c>
      <c r="J14" s="87">
        <v>0</v>
      </c>
      <c r="K14" s="84">
        <f>(K11*0.02)*0.15</f>
        <v>1860414</v>
      </c>
      <c r="L14" s="87">
        <v>0</v>
      </c>
      <c r="M14" s="87">
        <v>0</v>
      </c>
      <c r="N14" s="84">
        <f>(N11*0.02)*0.15</f>
        <v>1897623</v>
      </c>
      <c r="O14" s="87">
        <v>0</v>
      </c>
      <c r="P14" s="87">
        <v>0</v>
      </c>
      <c r="Q14" s="84">
        <f>(Q11*0.02)*0.15</f>
        <v>1936302</v>
      </c>
      <c r="R14" s="87">
        <v>0</v>
      </c>
      <c r="S14" s="87">
        <v>0</v>
      </c>
      <c r="T14" s="84">
        <f>(T11*0.02)*0.15</f>
        <v>1975029</v>
      </c>
      <c r="U14" s="87">
        <v>0</v>
      </c>
      <c r="V14" s="87">
        <v>0</v>
      </c>
    </row>
    <row r="15" spans="1:22" s="83" customFormat="1">
      <c r="A15" s="86" t="s">
        <v>140</v>
      </c>
      <c r="B15" s="84">
        <v>25000000</v>
      </c>
      <c r="C15" s="87">
        <v>0</v>
      </c>
      <c r="D15" s="87">
        <f>B15</f>
        <v>25000000</v>
      </c>
      <c r="E15" s="84">
        <v>25000000</v>
      </c>
      <c r="F15" s="87">
        <v>0</v>
      </c>
      <c r="G15" s="87">
        <f>E15</f>
        <v>25000000</v>
      </c>
      <c r="H15" s="84">
        <v>25000000</v>
      </c>
      <c r="I15" s="87">
        <v>0</v>
      </c>
      <c r="J15" s="87">
        <f>H15</f>
        <v>25000000</v>
      </c>
      <c r="K15" s="84">
        <v>25000000</v>
      </c>
      <c r="L15" s="87">
        <v>0</v>
      </c>
      <c r="M15" s="87">
        <f>K15</f>
        <v>25000000</v>
      </c>
      <c r="N15" s="84">
        <v>25000000</v>
      </c>
      <c r="O15" s="87">
        <v>0</v>
      </c>
      <c r="P15" s="87">
        <f>N15</f>
        <v>25000000</v>
      </c>
      <c r="Q15" s="84">
        <v>25000000</v>
      </c>
      <c r="R15" s="87">
        <v>0</v>
      </c>
      <c r="S15" s="87">
        <f>Q15</f>
        <v>25000000</v>
      </c>
      <c r="T15" s="84">
        <v>25000000</v>
      </c>
      <c r="U15" s="87">
        <v>0</v>
      </c>
      <c r="V15" s="87">
        <f>T15</f>
        <v>25000000</v>
      </c>
    </row>
    <row r="16" spans="1:22" s="83" customFormat="1">
      <c r="A16" s="86" t="s">
        <v>141</v>
      </c>
      <c r="B16" s="84">
        <v>5000000</v>
      </c>
      <c r="C16" s="87"/>
      <c r="D16" s="87"/>
      <c r="E16" s="84">
        <v>5000000</v>
      </c>
      <c r="F16" s="87"/>
      <c r="G16" s="87"/>
      <c r="H16" s="84">
        <v>5000000</v>
      </c>
      <c r="I16" s="87"/>
      <c r="J16" s="87"/>
      <c r="K16" s="84">
        <v>5000000</v>
      </c>
      <c r="L16" s="87"/>
      <c r="M16" s="87"/>
      <c r="N16" s="84">
        <v>5000000</v>
      </c>
      <c r="O16" s="87"/>
      <c r="P16" s="87"/>
      <c r="Q16" s="84">
        <v>5000000</v>
      </c>
      <c r="R16" s="87"/>
      <c r="S16" s="87"/>
      <c r="T16" s="84">
        <v>5000000</v>
      </c>
      <c r="U16" s="87"/>
      <c r="V16" s="87"/>
    </row>
    <row r="17" spans="1:22" s="83" customFormat="1">
      <c r="A17" s="86" t="s">
        <v>9</v>
      </c>
      <c r="B17" s="84">
        <f>(B11*0.02)*0.85</f>
        <v>10332600</v>
      </c>
      <c r="C17" s="87">
        <v>0</v>
      </c>
      <c r="D17" s="87">
        <f>B17</f>
        <v>10332600</v>
      </c>
      <c r="E17" s="84">
        <f>(E11*0.02)*0.85</f>
        <v>10332600</v>
      </c>
      <c r="F17" s="87">
        <v>0</v>
      </c>
      <c r="G17" s="129">
        <f>E17</f>
        <v>10332600</v>
      </c>
      <c r="H17" s="84">
        <f>(H11*0.02)*0.85</f>
        <v>10332600</v>
      </c>
      <c r="I17" s="87">
        <v>0</v>
      </c>
      <c r="J17" s="129">
        <f>H17</f>
        <v>10332600</v>
      </c>
      <c r="K17" s="84">
        <f>(K11*0.02)*0.85</f>
        <v>10542346</v>
      </c>
      <c r="L17" s="87">
        <v>0</v>
      </c>
      <c r="M17" s="129">
        <f>K17</f>
        <v>10542346</v>
      </c>
      <c r="N17" s="84">
        <f>(N11*0.02)*0.85</f>
        <v>10753197</v>
      </c>
      <c r="O17" s="87">
        <v>0</v>
      </c>
      <c r="P17" s="129">
        <f>N17</f>
        <v>10753197</v>
      </c>
      <c r="Q17" s="84">
        <f>(Q11*0.02)*0.85</f>
        <v>10972378</v>
      </c>
      <c r="R17" s="87">
        <v>0</v>
      </c>
      <c r="S17" s="129">
        <f>Q17</f>
        <v>10972378</v>
      </c>
      <c r="T17" s="84">
        <f>(T11*0.02)*0.85</f>
        <v>11191831</v>
      </c>
      <c r="U17" s="87">
        <v>0</v>
      </c>
      <c r="V17" s="87">
        <f>T17</f>
        <v>11191831</v>
      </c>
    </row>
    <row r="18" spans="1:22" s="83" customFormat="1">
      <c r="A18" s="99" t="s">
        <v>150</v>
      </c>
      <c r="B18" s="84"/>
      <c r="C18" s="87"/>
      <c r="D18" s="87">
        <f>D13+B22</f>
        <v>577507087.93560004</v>
      </c>
      <c r="E18" s="84"/>
      <c r="F18" s="87"/>
      <c r="G18" s="129">
        <f>G13+E22</f>
        <v>617507087.93560004</v>
      </c>
      <c r="H18" s="84"/>
      <c r="I18" s="87"/>
      <c r="J18" s="129">
        <f>J13+H22</f>
        <v>617507087.93560004</v>
      </c>
      <c r="K18" s="84"/>
      <c r="L18" s="87"/>
      <c r="M18" s="129">
        <f>M13+K22</f>
        <v>631057183.07878399</v>
      </c>
      <c r="N18" s="84"/>
      <c r="O18" s="87"/>
      <c r="P18" s="129">
        <f>P13+N22</f>
        <v>644678486.67858803</v>
      </c>
      <c r="Q18" s="84"/>
      <c r="R18" s="87"/>
      <c r="S18" s="129">
        <f>S13+Q22</f>
        <v>658838071.53409195</v>
      </c>
      <c r="T18" s="84"/>
      <c r="U18" s="87"/>
      <c r="V18" s="129">
        <f>V13+T22</f>
        <v>673015107.93388796</v>
      </c>
    </row>
    <row r="19" spans="1:22" s="18" customFormat="1">
      <c r="A19" s="78" t="s">
        <v>112</v>
      </c>
      <c r="B19" s="79">
        <v>525900000</v>
      </c>
      <c r="C19" s="80">
        <v>0</v>
      </c>
      <c r="D19" s="80">
        <f>B19</f>
        <v>525900000</v>
      </c>
      <c r="E19" s="79">
        <v>525900000</v>
      </c>
      <c r="F19" s="80">
        <v>0</v>
      </c>
      <c r="G19" s="80">
        <f>E19</f>
        <v>525900000</v>
      </c>
      <c r="H19" s="79">
        <v>525900000</v>
      </c>
      <c r="I19" s="80">
        <v>0</v>
      </c>
      <c r="J19" s="80">
        <f>H19</f>
        <v>525900000</v>
      </c>
      <c r="K19" s="79">
        <v>536576000</v>
      </c>
      <c r="L19" s="80">
        <v>0</v>
      </c>
      <c r="M19" s="80">
        <f>K19</f>
        <v>536576000</v>
      </c>
      <c r="N19" s="79">
        <v>547307000</v>
      </c>
      <c r="O19" s="80">
        <v>0</v>
      </c>
      <c r="P19" s="80">
        <f>N19</f>
        <v>547307000</v>
      </c>
      <c r="Q19" s="79">
        <v>558463000</v>
      </c>
      <c r="R19" s="80">
        <v>0</v>
      </c>
      <c r="S19" s="80">
        <f>Q19</f>
        <v>558463000</v>
      </c>
      <c r="T19" s="79">
        <v>569632000</v>
      </c>
      <c r="U19" s="80">
        <v>0</v>
      </c>
      <c r="V19" s="80">
        <f>T19</f>
        <v>569632000</v>
      </c>
    </row>
    <row r="20" spans="1:22" s="83" customFormat="1">
      <c r="A20" s="86" t="s">
        <v>18</v>
      </c>
      <c r="B20" s="84">
        <f>B19*0.5</f>
        <v>262950000</v>
      </c>
      <c r="C20" s="87">
        <v>0</v>
      </c>
      <c r="D20" s="87">
        <v>0</v>
      </c>
      <c r="E20" s="84">
        <f>E19*0.5</f>
        <v>262950000</v>
      </c>
      <c r="F20" s="87">
        <v>0</v>
      </c>
      <c r="G20" s="87">
        <v>0</v>
      </c>
      <c r="H20" s="84">
        <f>H19*0.5</f>
        <v>262950000</v>
      </c>
      <c r="I20" s="87">
        <v>0</v>
      </c>
      <c r="J20" s="87">
        <v>0</v>
      </c>
      <c r="K20" s="84">
        <f>K19*0.5</f>
        <v>268288000</v>
      </c>
      <c r="L20" s="87">
        <v>0</v>
      </c>
      <c r="M20" s="87">
        <v>0</v>
      </c>
      <c r="N20" s="84">
        <f>N19*0.5</f>
        <v>273653500</v>
      </c>
      <c r="O20" s="87">
        <v>0</v>
      </c>
      <c r="P20" s="87">
        <v>0</v>
      </c>
      <c r="Q20" s="84">
        <f>Q19*0.5</f>
        <v>279231500</v>
      </c>
      <c r="R20" s="87">
        <v>0</v>
      </c>
      <c r="S20" s="87">
        <v>0</v>
      </c>
      <c r="T20" s="84">
        <f>T19*0.5</f>
        <v>284816000</v>
      </c>
      <c r="U20" s="87">
        <v>0</v>
      </c>
      <c r="V20" s="87">
        <v>0</v>
      </c>
    </row>
    <row r="21" spans="1:22" s="83" customFormat="1">
      <c r="A21" s="90" t="s">
        <v>115</v>
      </c>
      <c r="B21" s="91">
        <f>B20*0.715147032</f>
        <v>188047912.06439999</v>
      </c>
      <c r="C21" s="87"/>
      <c r="D21" s="87"/>
      <c r="E21" s="91">
        <f>E20*0.715147032</f>
        <v>188047912.06439999</v>
      </c>
      <c r="F21" s="87"/>
      <c r="G21" s="87"/>
      <c r="H21" s="91">
        <f>H20*0.715147032</f>
        <v>188047912.06439999</v>
      </c>
      <c r="I21" s="87"/>
      <c r="J21" s="87"/>
      <c r="K21" s="91">
        <f>K20*0.715147032</f>
        <v>191865366.92121598</v>
      </c>
      <c r="L21" s="87"/>
      <c r="M21" s="87"/>
      <c r="N21" s="91">
        <f>N20*0.715147032</f>
        <v>195702488.321412</v>
      </c>
      <c r="O21" s="87"/>
      <c r="P21" s="87"/>
      <c r="Q21" s="91">
        <f>Q20*0.715147032</f>
        <v>199691578.46590799</v>
      </c>
      <c r="R21" s="87"/>
      <c r="S21" s="87"/>
      <c r="T21" s="91">
        <f>T20*0.715147032</f>
        <v>203685317.06611198</v>
      </c>
      <c r="U21" s="87"/>
      <c r="V21" s="87"/>
    </row>
    <row r="22" spans="1:22" s="83" customFormat="1">
      <c r="A22" s="90" t="s">
        <v>114</v>
      </c>
      <c r="B22" s="91">
        <f>B20*0.284852968</f>
        <v>74902087.935599998</v>
      </c>
      <c r="C22" s="87"/>
      <c r="D22" s="87"/>
      <c r="E22" s="91">
        <f>E20*0.284852968</f>
        <v>74902087.935599998</v>
      </c>
      <c r="F22" s="87"/>
      <c r="G22" s="87"/>
      <c r="H22" s="91">
        <f>H20*0.284852968</f>
        <v>74902087.935599998</v>
      </c>
      <c r="I22" s="87"/>
      <c r="J22" s="87"/>
      <c r="K22" s="91">
        <f>K20*0.284852968</f>
        <v>76422633.078783989</v>
      </c>
      <c r="L22" s="87"/>
      <c r="M22" s="87"/>
      <c r="N22" s="91">
        <f>N20*0.284852968</f>
        <v>77951011.678588003</v>
      </c>
      <c r="O22" s="87"/>
      <c r="P22" s="87"/>
      <c r="Q22" s="91">
        <f>Q20*0.284852968</f>
        <v>79539921.534091994</v>
      </c>
      <c r="R22" s="87"/>
      <c r="S22" s="87"/>
      <c r="T22" s="91">
        <f>T20*0.284852968</f>
        <v>81130682.933887988</v>
      </c>
      <c r="U22" s="87"/>
      <c r="V22" s="87"/>
    </row>
    <row r="23" spans="1:22" s="83" customFormat="1">
      <c r="A23" s="86" t="s">
        <v>17</v>
      </c>
      <c r="B23" s="84">
        <f>B19*0.5</f>
        <v>262950000</v>
      </c>
      <c r="C23" s="87">
        <v>0</v>
      </c>
      <c r="D23" s="87">
        <v>0</v>
      </c>
      <c r="E23" s="84">
        <f>E19*0.5</f>
        <v>262950000</v>
      </c>
      <c r="F23" s="87">
        <v>0</v>
      </c>
      <c r="G23" s="87">
        <v>0</v>
      </c>
      <c r="H23" s="84">
        <f>H19*0.5</f>
        <v>262950000</v>
      </c>
      <c r="I23" s="87">
        <v>0</v>
      </c>
      <c r="J23" s="87">
        <v>0</v>
      </c>
      <c r="K23" s="84">
        <f>K19*0.5</f>
        <v>268288000</v>
      </c>
      <c r="L23" s="87">
        <v>0</v>
      </c>
      <c r="M23" s="87">
        <v>0</v>
      </c>
      <c r="N23" s="84">
        <f>N19*0.5</f>
        <v>273653500</v>
      </c>
      <c r="O23" s="87">
        <v>0</v>
      </c>
      <c r="P23" s="87">
        <v>0</v>
      </c>
      <c r="Q23" s="84">
        <f>Q19*0.5</f>
        <v>279231500</v>
      </c>
      <c r="R23" s="87">
        <v>0</v>
      </c>
      <c r="S23" s="87">
        <v>0</v>
      </c>
      <c r="T23" s="84">
        <f>T19*0.5</f>
        <v>284816000</v>
      </c>
      <c r="U23" s="87">
        <v>0</v>
      </c>
      <c r="V23" s="87">
        <v>0</v>
      </c>
    </row>
    <row r="24" spans="1:22">
      <c r="A24" s="92" t="s">
        <v>12</v>
      </c>
      <c r="B24" s="93">
        <v>3850000</v>
      </c>
      <c r="C24" s="85">
        <v>0</v>
      </c>
      <c r="D24" s="85">
        <v>0</v>
      </c>
      <c r="E24" s="93">
        <v>3850000</v>
      </c>
      <c r="F24" s="85">
        <v>0</v>
      </c>
      <c r="G24" s="85">
        <v>0</v>
      </c>
      <c r="H24" s="93">
        <v>3850000</v>
      </c>
      <c r="I24" s="85">
        <v>0</v>
      </c>
      <c r="J24" s="85">
        <v>0</v>
      </c>
      <c r="K24" s="93">
        <v>3850000</v>
      </c>
      <c r="L24" s="85">
        <v>0</v>
      </c>
      <c r="M24" s="85">
        <v>0</v>
      </c>
      <c r="N24" s="93">
        <v>3850000</v>
      </c>
      <c r="O24" s="85">
        <v>0</v>
      </c>
      <c r="P24" s="85">
        <v>0</v>
      </c>
      <c r="Q24" s="93">
        <v>3850000</v>
      </c>
      <c r="R24" s="85">
        <v>0</v>
      </c>
      <c r="S24" s="85">
        <v>0</v>
      </c>
      <c r="T24" s="93">
        <v>3850000</v>
      </c>
      <c r="U24" s="85">
        <v>0</v>
      </c>
      <c r="V24" s="85">
        <v>0</v>
      </c>
    </row>
    <row r="25" spans="1:22">
      <c r="A25" s="92" t="s">
        <v>26</v>
      </c>
      <c r="B25" s="93">
        <v>5000000</v>
      </c>
      <c r="C25" s="85"/>
      <c r="D25" s="85">
        <v>0</v>
      </c>
      <c r="E25" s="93">
        <v>5000000</v>
      </c>
      <c r="F25" s="85"/>
      <c r="G25" s="85">
        <v>0</v>
      </c>
      <c r="H25" s="93">
        <v>5000000</v>
      </c>
      <c r="I25" s="85"/>
      <c r="J25" s="85">
        <v>0</v>
      </c>
      <c r="K25" s="93">
        <v>5000000</v>
      </c>
      <c r="L25" s="85"/>
      <c r="M25" s="85">
        <v>0</v>
      </c>
      <c r="N25" s="93">
        <v>5000000</v>
      </c>
      <c r="O25" s="85"/>
      <c r="P25" s="85">
        <v>0</v>
      </c>
      <c r="Q25" s="93">
        <v>5000000</v>
      </c>
      <c r="R25" s="85"/>
      <c r="S25" s="85">
        <v>0</v>
      </c>
      <c r="T25" s="93">
        <v>5000000</v>
      </c>
      <c r="U25" s="85"/>
      <c r="V25" s="85">
        <v>0</v>
      </c>
    </row>
    <row r="26" spans="1:22">
      <c r="A26" s="92" t="s">
        <v>2</v>
      </c>
      <c r="B26" s="93">
        <f>SUM(B27:B28)</f>
        <v>128800000</v>
      </c>
      <c r="C26" s="85"/>
      <c r="D26" s="85">
        <v>0</v>
      </c>
      <c r="E26" s="127">
        <v>128800000</v>
      </c>
      <c r="F26" s="85"/>
      <c r="G26" s="85">
        <v>0</v>
      </c>
      <c r="H26" s="127">
        <v>128800000</v>
      </c>
      <c r="I26" s="85"/>
      <c r="J26" s="85">
        <v>0</v>
      </c>
      <c r="K26" s="127">
        <v>131415000</v>
      </c>
      <c r="L26" s="85"/>
      <c r="M26" s="85">
        <v>0</v>
      </c>
      <c r="N26" s="127">
        <v>134043000</v>
      </c>
      <c r="O26" s="85"/>
      <c r="P26" s="85">
        <v>0</v>
      </c>
      <c r="Q26" s="127">
        <v>136775000</v>
      </c>
      <c r="R26" s="85"/>
      <c r="S26" s="85">
        <v>0</v>
      </c>
      <c r="T26" s="127">
        <v>139511000</v>
      </c>
      <c r="U26" s="85"/>
      <c r="V26" s="85">
        <v>0</v>
      </c>
    </row>
    <row r="27" spans="1:22" s="83" customFormat="1">
      <c r="A27" s="86" t="s">
        <v>1</v>
      </c>
      <c r="B27" s="84">
        <v>106543360</v>
      </c>
      <c r="C27" s="87">
        <f>B27*0.005</f>
        <v>532716.80000000005</v>
      </c>
      <c r="D27" s="129">
        <f>B27-C27</f>
        <v>106010643.2</v>
      </c>
      <c r="E27" s="128">
        <f>E26*0.8272</f>
        <v>106543360</v>
      </c>
      <c r="F27" s="87">
        <f>E27*0.005</f>
        <v>532716.80000000005</v>
      </c>
      <c r="G27" s="129">
        <f>E27-F27</f>
        <v>106010643.2</v>
      </c>
      <c r="H27" s="128">
        <f t="shared" ref="H27:T27" si="0">H26*0.8272</f>
        <v>106543360</v>
      </c>
      <c r="I27" s="129">
        <f>H27*0.005</f>
        <v>532716.80000000005</v>
      </c>
      <c r="J27" s="129">
        <f>H27-I27</f>
        <v>106010643.2</v>
      </c>
      <c r="K27" s="128">
        <f t="shared" si="0"/>
        <v>108706488</v>
      </c>
      <c r="L27" s="129">
        <f>K27*0.005</f>
        <v>543532.44000000006</v>
      </c>
      <c r="M27" s="129">
        <f>K27-L27</f>
        <v>108162955.56</v>
      </c>
      <c r="N27" s="84">
        <f t="shared" si="0"/>
        <v>110880369.60000001</v>
      </c>
      <c r="O27" s="87">
        <f>N27*0.005</f>
        <v>554401.848</v>
      </c>
      <c r="P27" s="129">
        <f>N27-O27</f>
        <v>110325967.752</v>
      </c>
      <c r="Q27" s="84">
        <f t="shared" si="0"/>
        <v>113140280</v>
      </c>
      <c r="R27" s="87">
        <f>Q27*0.005</f>
        <v>565701.4</v>
      </c>
      <c r="S27" s="129">
        <f>Q27-R27</f>
        <v>112574578.59999999</v>
      </c>
      <c r="T27" s="84">
        <f t="shared" si="0"/>
        <v>115403499.2</v>
      </c>
      <c r="U27" s="87">
        <f>T27*0.005</f>
        <v>577017.49600000004</v>
      </c>
      <c r="V27" s="87">
        <f>T27-U27</f>
        <v>114826481.704</v>
      </c>
    </row>
    <row r="28" spans="1:22" s="83" customFormat="1">
      <c r="A28" s="86" t="s">
        <v>3</v>
      </c>
      <c r="B28" s="84">
        <v>22256640</v>
      </c>
      <c r="C28" s="87">
        <f>B28*0.005</f>
        <v>111283.2</v>
      </c>
      <c r="D28" s="129">
        <f>B28-C28</f>
        <v>22145356.800000001</v>
      </c>
      <c r="E28" s="128">
        <f>E26*0.1728</f>
        <v>22256640</v>
      </c>
      <c r="F28" s="87">
        <f>E28*0.005</f>
        <v>111283.2</v>
      </c>
      <c r="G28" s="129">
        <f>E28-F28</f>
        <v>22145356.800000001</v>
      </c>
      <c r="H28" s="128">
        <f t="shared" ref="H28:T28" si="1">H26*0.1728</f>
        <v>22256640</v>
      </c>
      <c r="I28" s="129">
        <f>H28*0.005</f>
        <v>111283.2</v>
      </c>
      <c r="J28" s="129">
        <f>H28-I28</f>
        <v>22145356.800000001</v>
      </c>
      <c r="K28" s="128">
        <f t="shared" si="1"/>
        <v>22708512</v>
      </c>
      <c r="L28" s="129">
        <f>K28*0.005</f>
        <v>113542.56</v>
      </c>
      <c r="M28" s="129">
        <f>K28-L28</f>
        <v>22594969.440000001</v>
      </c>
      <c r="N28" s="128">
        <f t="shared" si="1"/>
        <v>23162630.400000002</v>
      </c>
      <c r="O28" s="129">
        <f>N28*0.005</f>
        <v>115813.15200000002</v>
      </c>
      <c r="P28" s="129">
        <f>N28-O28</f>
        <v>23046817.248000003</v>
      </c>
      <c r="Q28" s="128">
        <f t="shared" si="1"/>
        <v>23634720</v>
      </c>
      <c r="R28" s="129">
        <f>Q28*0.005</f>
        <v>118173.6</v>
      </c>
      <c r="S28" s="129">
        <f>Q28-R28</f>
        <v>23516546.399999999</v>
      </c>
      <c r="T28" s="128">
        <f t="shared" si="1"/>
        <v>24107500.800000001</v>
      </c>
      <c r="U28" s="129">
        <f>T28*0.005</f>
        <v>120537.504</v>
      </c>
      <c r="V28" s="129">
        <f>T28-U28</f>
        <v>23986963.296</v>
      </c>
    </row>
    <row r="29" spans="1:22">
      <c r="A29" s="78" t="s">
        <v>13</v>
      </c>
      <c r="B29" s="79">
        <f>SUM(B31:B32)</f>
        <v>2165900000</v>
      </c>
      <c r="C29" s="80"/>
      <c r="D29" s="80">
        <v>0</v>
      </c>
      <c r="E29" s="79">
        <v>2198389000</v>
      </c>
      <c r="F29" s="80"/>
      <c r="G29" s="80">
        <v>0</v>
      </c>
      <c r="H29" s="79">
        <v>2237520000</v>
      </c>
      <c r="I29" s="80"/>
      <c r="J29" s="80">
        <v>0</v>
      </c>
      <c r="K29" s="79">
        <v>2282941000</v>
      </c>
      <c r="L29" s="80"/>
      <c r="M29" s="80">
        <v>0</v>
      </c>
      <c r="N29" s="79">
        <v>2328600000</v>
      </c>
      <c r="O29" s="80"/>
      <c r="P29" s="80">
        <v>0</v>
      </c>
      <c r="Q29" s="79">
        <v>2376064000</v>
      </c>
      <c r="R29" s="80"/>
      <c r="S29" s="80">
        <v>0</v>
      </c>
      <c r="T29" s="79">
        <v>2423585000</v>
      </c>
      <c r="U29" s="80"/>
      <c r="V29" s="80">
        <v>0</v>
      </c>
    </row>
    <row r="30" spans="1:22" s="83" customFormat="1">
      <c r="A30" s="86" t="s">
        <v>137</v>
      </c>
      <c r="B30" s="94"/>
      <c r="C30" s="87"/>
      <c r="D30" s="87"/>
      <c r="E30" s="87"/>
      <c r="F30" s="87"/>
      <c r="G30" s="87"/>
      <c r="H30" s="87"/>
      <c r="I30" s="87"/>
      <c r="J30" s="87"/>
      <c r="K30" s="87"/>
      <c r="L30" s="87"/>
      <c r="M30" s="87"/>
      <c r="N30" s="87"/>
      <c r="O30" s="87"/>
      <c r="P30" s="87"/>
      <c r="Q30" s="87"/>
      <c r="R30" s="87"/>
      <c r="S30" s="87"/>
      <c r="T30" s="87"/>
      <c r="U30" s="87"/>
      <c r="V30" s="87"/>
    </row>
    <row r="31" spans="1:22" s="83" customFormat="1">
      <c r="A31" s="86" t="s">
        <v>14</v>
      </c>
      <c r="B31" s="84">
        <v>2104171850</v>
      </c>
      <c r="C31" s="87">
        <f>B31*0.0075</f>
        <v>15781288.875</v>
      </c>
      <c r="D31" s="129">
        <f>B31-C31</f>
        <v>2088390561.125</v>
      </c>
      <c r="E31" s="84">
        <f>(E29-E30)*0.9715</f>
        <v>2135734913.5</v>
      </c>
      <c r="F31" s="87">
        <f>E31*0.0075</f>
        <v>16018011.85125</v>
      </c>
      <c r="G31" s="129">
        <f>E31-F31</f>
        <v>2119716901.6487501</v>
      </c>
      <c r="H31" s="84">
        <f>(H29-H30)*0.9715</f>
        <v>2173750680</v>
      </c>
      <c r="I31" s="87">
        <f>H31*0.0075</f>
        <v>16303130.1</v>
      </c>
      <c r="J31" s="129">
        <f>H31-I31</f>
        <v>2157447549.9000001</v>
      </c>
      <c r="K31" s="84">
        <f>(K29-K30)*0.9715</f>
        <v>2217877181.5</v>
      </c>
      <c r="L31" s="87">
        <f>K31*0.0075</f>
        <v>16634078.86125</v>
      </c>
      <c r="M31" s="129">
        <f>K31-L31</f>
        <v>2201243102.6387501</v>
      </c>
      <c r="N31" s="84">
        <f>(N29-N30)*0.9715</f>
        <v>2262234900</v>
      </c>
      <c r="O31" s="87">
        <f>N31*0.0075</f>
        <v>16966761.75</v>
      </c>
      <c r="P31" s="129">
        <f>N31-O31</f>
        <v>2245268138.25</v>
      </c>
      <c r="Q31" s="84">
        <f>(Q29-Q30)*0.9715</f>
        <v>2308346176</v>
      </c>
      <c r="R31" s="87">
        <f>Q31*0.0075</f>
        <v>17312596.32</v>
      </c>
      <c r="S31" s="129">
        <f>Q31-R31</f>
        <v>2291033579.6799998</v>
      </c>
      <c r="T31" s="84">
        <f>(T29-T30)*0.9715</f>
        <v>2354512827.5</v>
      </c>
      <c r="U31" s="87">
        <f>T31*0.0075</f>
        <v>17658846.206250001</v>
      </c>
      <c r="V31" s="129">
        <f>T31-U31</f>
        <v>2336853981.2937498</v>
      </c>
    </row>
    <row r="32" spans="1:22" s="83" customFormat="1">
      <c r="A32" s="86" t="s">
        <v>15</v>
      </c>
      <c r="B32" s="128">
        <v>61728150</v>
      </c>
      <c r="C32" s="87">
        <v>0</v>
      </c>
      <c r="D32" s="129">
        <f>B32</f>
        <v>61728150</v>
      </c>
      <c r="E32" s="84">
        <f>E29-E30-E31</f>
        <v>62654086.5</v>
      </c>
      <c r="F32" s="87">
        <v>0</v>
      </c>
      <c r="G32" s="129">
        <f>E32</f>
        <v>62654086.5</v>
      </c>
      <c r="H32" s="84">
        <f>H29-H30-H31</f>
        <v>63769320</v>
      </c>
      <c r="I32" s="87">
        <v>0</v>
      </c>
      <c r="J32" s="129">
        <f>H32</f>
        <v>63769320</v>
      </c>
      <c r="K32" s="84">
        <f>K29-K30-K31</f>
        <v>65063818.5</v>
      </c>
      <c r="L32" s="87">
        <v>0</v>
      </c>
      <c r="M32" s="129">
        <f>K32</f>
        <v>65063818.5</v>
      </c>
      <c r="N32" s="84">
        <f>N29-N30-N31</f>
        <v>66365100</v>
      </c>
      <c r="O32" s="87">
        <v>0</v>
      </c>
      <c r="P32" s="129">
        <f>N32</f>
        <v>66365100</v>
      </c>
      <c r="Q32" s="84">
        <f>Q29-Q30-Q31</f>
        <v>67717824</v>
      </c>
      <c r="R32" s="87">
        <v>0</v>
      </c>
      <c r="S32" s="129">
        <f>Q32</f>
        <v>67717824</v>
      </c>
      <c r="T32" s="84">
        <f>T29-T30-T31</f>
        <v>69072172.5</v>
      </c>
      <c r="U32" s="87">
        <v>0</v>
      </c>
      <c r="V32" s="129">
        <f>T32</f>
        <v>69072172.5</v>
      </c>
    </row>
    <row r="33" spans="1:22">
      <c r="A33" s="78" t="s">
        <v>0</v>
      </c>
      <c r="B33" s="79">
        <v>10000000</v>
      </c>
      <c r="C33" s="80">
        <v>0</v>
      </c>
      <c r="D33" s="80">
        <v>0</v>
      </c>
      <c r="E33" s="79">
        <v>10000000</v>
      </c>
      <c r="F33" s="80">
        <v>0</v>
      </c>
      <c r="G33" s="80">
        <v>0</v>
      </c>
      <c r="H33" s="79">
        <v>10000000</v>
      </c>
      <c r="I33" s="80">
        <v>0</v>
      </c>
      <c r="J33" s="80">
        <v>0</v>
      </c>
      <c r="K33" s="79">
        <v>10000000</v>
      </c>
      <c r="L33" s="80">
        <v>0</v>
      </c>
      <c r="M33" s="80">
        <v>0</v>
      </c>
      <c r="N33" s="79">
        <v>10000000</v>
      </c>
      <c r="O33" s="80">
        <v>0</v>
      </c>
      <c r="P33" s="80">
        <v>0</v>
      </c>
      <c r="Q33" s="79">
        <v>10000000</v>
      </c>
      <c r="R33" s="80">
        <v>0</v>
      </c>
      <c r="S33" s="80">
        <v>0</v>
      </c>
      <c r="T33" s="79">
        <v>10000000</v>
      </c>
      <c r="U33" s="80">
        <v>0</v>
      </c>
      <c r="V33" s="80">
        <v>0</v>
      </c>
    </row>
    <row r="34" spans="1:22" s="83" customFormat="1">
      <c r="A34" s="78" t="s">
        <v>113</v>
      </c>
      <c r="B34" s="127">
        <v>4458650000</v>
      </c>
      <c r="C34" s="80">
        <f>B34*0.0075</f>
        <v>33439875</v>
      </c>
      <c r="D34" s="80">
        <f>B34-C34-B36</f>
        <v>4395210125</v>
      </c>
      <c r="E34" s="79">
        <v>4458650000</v>
      </c>
      <c r="F34" s="80">
        <f>E34*0.0075</f>
        <v>33439875</v>
      </c>
      <c r="G34" s="80">
        <f>E34-F34-E36</f>
        <v>4395210125</v>
      </c>
      <c r="H34" s="79">
        <v>4458650000</v>
      </c>
      <c r="I34" s="80">
        <f>H34*0.0075</f>
        <v>33439875</v>
      </c>
      <c r="J34" s="80">
        <f>H34-I34-H36</f>
        <v>4395210125</v>
      </c>
      <c r="K34" s="79">
        <v>4549161000</v>
      </c>
      <c r="L34" s="80">
        <f>K34*0.0075</f>
        <v>34118707.5</v>
      </c>
      <c r="M34" s="80">
        <f>K34-L34-K36</f>
        <v>4485042292.5</v>
      </c>
      <c r="N34" s="79">
        <v>4640144000</v>
      </c>
      <c r="O34" s="80">
        <f>N34*0.0075</f>
        <v>34801080</v>
      </c>
      <c r="P34" s="80">
        <f>N34-O34-N36</f>
        <v>4575342920</v>
      </c>
      <c r="Q34" s="79">
        <v>4734724000</v>
      </c>
      <c r="R34" s="80">
        <f>Q34*0.0075</f>
        <v>35510430</v>
      </c>
      <c r="S34" s="80">
        <f>Q34-R34-Q36</f>
        <v>4669213570</v>
      </c>
      <c r="T34" s="79">
        <v>4829418000</v>
      </c>
      <c r="U34" s="80">
        <f>T34*0.0075</f>
        <v>36220635</v>
      </c>
      <c r="V34" s="80">
        <f>T34-U34-T36</f>
        <v>4763197365</v>
      </c>
    </row>
    <row r="35" spans="1:22" s="83" customFormat="1">
      <c r="A35" s="86" t="s">
        <v>6</v>
      </c>
      <c r="B35" s="128">
        <v>22293250</v>
      </c>
      <c r="C35" s="87">
        <v>0</v>
      </c>
      <c r="D35" s="129">
        <f>B35</f>
        <v>22293250</v>
      </c>
      <c r="E35" s="84">
        <f>E34*0.005</f>
        <v>22293250</v>
      </c>
      <c r="F35" s="87">
        <v>0</v>
      </c>
      <c r="G35" s="129">
        <f>E35</f>
        <v>22293250</v>
      </c>
      <c r="H35" s="84">
        <f t="shared" ref="H35:T35" si="2">H34*0.005</f>
        <v>22293250</v>
      </c>
      <c r="I35" s="87">
        <v>0</v>
      </c>
      <c r="J35" s="129">
        <f>H35</f>
        <v>22293250</v>
      </c>
      <c r="K35" s="84">
        <f t="shared" si="2"/>
        <v>22745805</v>
      </c>
      <c r="L35" s="87">
        <v>0</v>
      </c>
      <c r="M35" s="129">
        <f>K35</f>
        <v>22745805</v>
      </c>
      <c r="N35" s="84">
        <f>N34*0.005</f>
        <v>23200720</v>
      </c>
      <c r="O35" s="87">
        <v>0</v>
      </c>
      <c r="P35" s="129">
        <f>N35</f>
        <v>23200720</v>
      </c>
      <c r="Q35" s="84">
        <f t="shared" si="2"/>
        <v>23673620</v>
      </c>
      <c r="R35" s="87">
        <v>0</v>
      </c>
      <c r="S35" s="129">
        <f>Q35</f>
        <v>23673620</v>
      </c>
      <c r="T35" s="84">
        <f t="shared" si="2"/>
        <v>24147090</v>
      </c>
      <c r="U35" s="87">
        <v>0</v>
      </c>
      <c r="V35" s="129">
        <f>T35</f>
        <v>24147090</v>
      </c>
    </row>
    <row r="36" spans="1:22" s="83" customFormat="1">
      <c r="A36" s="86" t="s">
        <v>5</v>
      </c>
      <c r="B36" s="84">
        <v>30000000</v>
      </c>
      <c r="C36" s="87">
        <v>0</v>
      </c>
      <c r="D36" s="87">
        <v>0</v>
      </c>
      <c r="E36" s="84">
        <v>30000000</v>
      </c>
      <c r="F36" s="87">
        <v>0</v>
      </c>
      <c r="G36" s="87">
        <v>0</v>
      </c>
      <c r="H36" s="84">
        <v>30000000</v>
      </c>
      <c r="I36" s="87">
        <v>0</v>
      </c>
      <c r="J36" s="87">
        <v>0</v>
      </c>
      <c r="K36" s="84">
        <v>30000000</v>
      </c>
      <c r="L36" s="87">
        <v>0</v>
      </c>
      <c r="M36" s="87">
        <v>0</v>
      </c>
      <c r="N36" s="84">
        <v>30000000</v>
      </c>
      <c r="O36" s="87">
        <v>0</v>
      </c>
      <c r="P36" s="87">
        <v>0</v>
      </c>
      <c r="Q36" s="84">
        <v>30000000</v>
      </c>
      <c r="R36" s="87">
        <v>0</v>
      </c>
      <c r="S36" s="87">
        <v>0</v>
      </c>
      <c r="T36" s="84">
        <v>30000000</v>
      </c>
      <c r="U36" s="87">
        <v>0</v>
      </c>
      <c r="V36" s="87">
        <v>0</v>
      </c>
    </row>
    <row r="37" spans="1:22" s="83" customFormat="1">
      <c r="A37" s="86" t="s">
        <v>4</v>
      </c>
      <c r="B37" s="84">
        <f>B34-B35-B36</f>
        <v>4406356750</v>
      </c>
      <c r="C37" s="87">
        <f>C34</f>
        <v>33439875</v>
      </c>
      <c r="D37" s="129">
        <f>B37-C37</f>
        <v>4372916875</v>
      </c>
      <c r="E37" s="84">
        <f t="shared" ref="E37:T37" si="3">E34-E35-E36</f>
        <v>4406356750</v>
      </c>
      <c r="F37" s="87">
        <f>F34</f>
        <v>33439875</v>
      </c>
      <c r="G37" s="87">
        <f>E37-F37</f>
        <v>4372916875</v>
      </c>
      <c r="H37" s="84">
        <f t="shared" si="3"/>
        <v>4406356750</v>
      </c>
      <c r="I37" s="87">
        <f>I34</f>
        <v>33439875</v>
      </c>
      <c r="J37" s="87">
        <f>H37-I37</f>
        <v>4372916875</v>
      </c>
      <c r="K37" s="84">
        <f t="shared" si="3"/>
        <v>4496415195</v>
      </c>
      <c r="L37" s="87">
        <f>L34</f>
        <v>34118707.5</v>
      </c>
      <c r="M37" s="87">
        <f>K37-L37</f>
        <v>4462296487.5</v>
      </c>
      <c r="N37" s="84">
        <f t="shared" si="3"/>
        <v>4586943280</v>
      </c>
      <c r="O37" s="87">
        <f>O34</f>
        <v>34801080</v>
      </c>
      <c r="P37" s="87">
        <f>N37-O37</f>
        <v>4552142200</v>
      </c>
      <c r="Q37" s="84">
        <f t="shared" si="3"/>
        <v>4681050380</v>
      </c>
      <c r="R37" s="87">
        <f>R34</f>
        <v>35510430</v>
      </c>
      <c r="S37" s="87">
        <f>Q37-R37</f>
        <v>4645539950</v>
      </c>
      <c r="T37" s="84">
        <f t="shared" si="3"/>
        <v>4775270910</v>
      </c>
      <c r="U37" s="87">
        <f>U34</f>
        <v>36220635</v>
      </c>
      <c r="V37" s="87">
        <f>T37-U37</f>
        <v>4739050275</v>
      </c>
    </row>
    <row r="38" spans="1:22" s="83" customFormat="1">
      <c r="A38" s="99" t="s">
        <v>149</v>
      </c>
      <c r="B38" s="84"/>
      <c r="C38" s="87"/>
      <c r="D38" s="129">
        <f>D37+B21+B23</f>
        <v>4823914787.0643997</v>
      </c>
      <c r="E38" s="84"/>
      <c r="F38" s="87"/>
      <c r="G38" s="129">
        <f>G37+E21+E23</f>
        <v>4823914787.0643997</v>
      </c>
      <c r="H38" s="84"/>
      <c r="I38" s="87"/>
      <c r="J38" s="129">
        <f>J37+H21+H23</f>
        <v>4823914787.0643997</v>
      </c>
      <c r="K38" s="84"/>
      <c r="L38" s="87"/>
      <c r="M38" s="129">
        <f>M37+K21+K23</f>
        <v>4922449854.421216</v>
      </c>
      <c r="N38" s="84"/>
      <c r="O38" s="87"/>
      <c r="P38" s="129">
        <f>P37+N21+N23</f>
        <v>5021498188.3214121</v>
      </c>
      <c r="Q38" s="84"/>
      <c r="R38" s="87"/>
      <c r="S38" s="129">
        <f>S37+Q21+Q23</f>
        <v>5124463028.4659081</v>
      </c>
      <c r="T38" s="84"/>
      <c r="U38" s="87"/>
      <c r="V38" s="129">
        <f>V37+T21+T23</f>
        <v>5227551592.0661116</v>
      </c>
    </row>
    <row r="41" spans="1:22">
      <c r="A41" s="95" t="s">
        <v>25</v>
      </c>
      <c r="B41" s="95"/>
      <c r="C41" s="96">
        <v>0</v>
      </c>
      <c r="D41" s="96">
        <v>0</v>
      </c>
      <c r="E41" s="95">
        <v>33495000</v>
      </c>
      <c r="F41" s="96">
        <v>0</v>
      </c>
      <c r="G41" s="96">
        <v>0</v>
      </c>
      <c r="H41" s="95">
        <v>34091000</v>
      </c>
      <c r="I41" s="95"/>
      <c r="J41" s="95"/>
      <c r="K41" s="95">
        <v>34783000</v>
      </c>
      <c r="L41" s="95"/>
      <c r="M41" s="95"/>
      <c r="N41" s="95">
        <v>35479000</v>
      </c>
      <c r="O41" s="95"/>
      <c r="P41" s="95"/>
      <c r="Q41" s="95">
        <v>36202000</v>
      </c>
      <c r="R41" s="95"/>
      <c r="S41" s="95"/>
      <c r="T41" s="95">
        <v>36926000</v>
      </c>
      <c r="U41" s="10"/>
      <c r="V41" s="10"/>
    </row>
    <row r="42" spans="1:22">
      <c r="A42" s="5" t="s">
        <v>21</v>
      </c>
      <c r="B42" s="2"/>
      <c r="C42" s="8">
        <v>0</v>
      </c>
      <c r="D42" s="8">
        <v>0</v>
      </c>
      <c r="E42" s="2"/>
      <c r="F42" s="8"/>
      <c r="G42" s="8"/>
      <c r="H42" s="2"/>
      <c r="I42" s="13"/>
      <c r="J42" s="13"/>
      <c r="K42" s="2"/>
      <c r="L42" s="2"/>
      <c r="M42" s="2"/>
      <c r="N42" s="2"/>
      <c r="O42" s="2"/>
      <c r="P42" s="2"/>
      <c r="Q42" s="2"/>
      <c r="R42" s="2"/>
      <c r="S42" s="2"/>
      <c r="T42" s="2"/>
      <c r="U42" s="2"/>
      <c r="V42" s="2"/>
    </row>
    <row r="43" spans="1:22">
      <c r="A43" s="4" t="s">
        <v>24</v>
      </c>
      <c r="B43" s="1"/>
      <c r="C43" s="8">
        <v>0</v>
      </c>
      <c r="D43" s="8">
        <v>0</v>
      </c>
      <c r="E43" s="1"/>
      <c r="F43" s="8"/>
      <c r="G43" s="8"/>
      <c r="H43" s="1"/>
      <c r="I43" s="13"/>
      <c r="J43" s="13"/>
      <c r="K43" s="1"/>
      <c r="L43" s="1"/>
      <c r="M43" s="1"/>
      <c r="N43" s="1"/>
      <c r="O43" s="1"/>
      <c r="P43" s="1"/>
      <c r="Q43" s="1"/>
      <c r="R43" s="1"/>
      <c r="S43" s="1"/>
      <c r="T43" s="1"/>
      <c r="U43" s="1"/>
      <c r="V43" s="1"/>
    </row>
    <row r="44" spans="1:22">
      <c r="A44" s="4" t="s">
        <v>23</v>
      </c>
      <c r="B44" s="1"/>
      <c r="C44" s="8">
        <v>0</v>
      </c>
      <c r="D44" s="8">
        <v>0</v>
      </c>
      <c r="E44" s="1"/>
      <c r="F44" s="8"/>
      <c r="G44" s="8"/>
      <c r="H44" s="1"/>
      <c r="I44" s="13"/>
      <c r="J44" s="13"/>
      <c r="K44" s="1"/>
      <c r="L44" s="1"/>
      <c r="M44" s="1"/>
      <c r="N44" s="1"/>
      <c r="O44" s="1"/>
      <c r="P44" s="1"/>
      <c r="Q44" s="1"/>
      <c r="R44" s="1"/>
      <c r="S44" s="1"/>
      <c r="T44" s="1"/>
      <c r="U44" s="1"/>
      <c r="V44" s="1"/>
    </row>
    <row r="45" spans="1:22">
      <c r="A45" s="4" t="s">
        <v>30</v>
      </c>
      <c r="B45" s="1"/>
      <c r="C45" s="8">
        <v>0</v>
      </c>
      <c r="D45" s="8">
        <v>0</v>
      </c>
      <c r="E45" s="1"/>
      <c r="F45" s="8"/>
      <c r="G45" s="8"/>
      <c r="H45" s="1"/>
      <c r="I45" s="13"/>
      <c r="J45" s="13"/>
      <c r="K45" s="1"/>
      <c r="L45" s="1"/>
      <c r="M45" s="1"/>
      <c r="N45" s="1"/>
      <c r="O45" s="1"/>
      <c r="P45" s="1"/>
      <c r="Q45" s="1"/>
      <c r="R45" s="1"/>
      <c r="S45" s="1"/>
      <c r="T45" s="1"/>
      <c r="U45" s="1"/>
      <c r="V45" s="1"/>
    </row>
    <row r="46" spans="1:22" s="82" customFormat="1">
      <c r="A46" s="64" t="s">
        <v>142</v>
      </c>
      <c r="B46" s="63"/>
      <c r="C46" s="67"/>
      <c r="D46" s="67"/>
      <c r="E46" s="63">
        <v>5000000</v>
      </c>
      <c r="F46" s="67"/>
      <c r="G46" s="67"/>
      <c r="H46" s="63">
        <v>5000000</v>
      </c>
      <c r="I46" s="63">
        <v>5000000</v>
      </c>
      <c r="J46" s="63">
        <v>5000000</v>
      </c>
      <c r="K46" s="63">
        <v>5000000</v>
      </c>
      <c r="L46" s="63">
        <v>5000000</v>
      </c>
      <c r="M46" s="63">
        <v>5000000</v>
      </c>
      <c r="N46" s="63">
        <v>5000000</v>
      </c>
      <c r="O46" s="63">
        <v>5000000</v>
      </c>
      <c r="P46" s="63">
        <v>5000000</v>
      </c>
      <c r="Q46" s="63">
        <v>5000000</v>
      </c>
      <c r="R46" s="63">
        <v>5000000</v>
      </c>
      <c r="S46" s="63">
        <v>5000000</v>
      </c>
      <c r="T46" s="63">
        <v>5000000</v>
      </c>
      <c r="U46" s="63"/>
      <c r="V46" s="63"/>
    </row>
    <row r="47" spans="1:22">
      <c r="A47" s="66" t="s">
        <v>143</v>
      </c>
      <c r="B47" s="2"/>
      <c r="C47" s="8">
        <v>0</v>
      </c>
      <c r="D47" s="8">
        <v>0</v>
      </c>
      <c r="E47" s="67">
        <v>5000000</v>
      </c>
      <c r="F47" s="67">
        <v>0</v>
      </c>
      <c r="G47" s="67">
        <v>0</v>
      </c>
      <c r="H47" s="67">
        <v>5000000</v>
      </c>
      <c r="I47" s="67">
        <v>5000000</v>
      </c>
      <c r="J47" s="67">
        <v>5000000</v>
      </c>
      <c r="K47" s="67">
        <v>5000000</v>
      </c>
      <c r="L47" s="67">
        <v>5000000</v>
      </c>
      <c r="M47" s="67">
        <v>5000000</v>
      </c>
      <c r="N47" s="67">
        <v>5000000</v>
      </c>
      <c r="O47" s="67">
        <v>5000000</v>
      </c>
      <c r="P47" s="67">
        <v>5000000</v>
      </c>
      <c r="Q47" s="67">
        <v>5000000</v>
      </c>
      <c r="R47" s="67">
        <v>5000000</v>
      </c>
      <c r="S47" s="67">
        <v>5000000</v>
      </c>
      <c r="T47" s="67">
        <v>5000000</v>
      </c>
      <c r="U47" s="2"/>
      <c r="V47" s="2"/>
    </row>
    <row r="48" spans="1:22">
      <c r="A48" s="97" t="s">
        <v>144</v>
      </c>
      <c r="B48" s="97"/>
      <c r="C48" s="98">
        <v>0</v>
      </c>
      <c r="D48" s="98">
        <v>0</v>
      </c>
      <c r="E48" s="97">
        <v>4000000</v>
      </c>
      <c r="F48" s="98"/>
      <c r="G48" s="98"/>
      <c r="H48" s="97">
        <v>4000000</v>
      </c>
      <c r="I48" s="97">
        <v>4000000</v>
      </c>
      <c r="J48" s="97">
        <v>4000000</v>
      </c>
      <c r="K48" s="97">
        <v>4000000</v>
      </c>
      <c r="L48" s="97">
        <v>4000000</v>
      </c>
      <c r="M48" s="97">
        <v>4000000</v>
      </c>
      <c r="N48" s="97">
        <v>4000000</v>
      </c>
      <c r="O48" s="97">
        <v>4000000</v>
      </c>
      <c r="P48" s="97">
        <v>4000000</v>
      </c>
      <c r="Q48" s="97">
        <v>4000000</v>
      </c>
      <c r="R48" s="97">
        <v>4000000</v>
      </c>
      <c r="S48" s="97">
        <v>4000000</v>
      </c>
      <c r="T48" s="97">
        <v>4000000</v>
      </c>
      <c r="U48" s="10"/>
      <c r="V48" s="10"/>
    </row>
    <row r="49" spans="1:22" s="9" customFormat="1">
      <c r="A49" s="92" t="s">
        <v>145</v>
      </c>
      <c r="B49" s="93"/>
      <c r="C49" s="93">
        <v>0</v>
      </c>
      <c r="D49" s="93">
        <v>0</v>
      </c>
      <c r="E49" s="93"/>
      <c r="F49" s="93"/>
      <c r="G49" s="93"/>
      <c r="H49" s="93"/>
      <c r="I49" s="93"/>
      <c r="J49" s="93"/>
      <c r="K49" s="93"/>
      <c r="L49" s="93">
        <v>4000000</v>
      </c>
      <c r="M49" s="93">
        <v>4000000</v>
      </c>
      <c r="N49" s="93">
        <v>4000000</v>
      </c>
      <c r="O49" s="93">
        <v>4000000</v>
      </c>
      <c r="P49" s="93">
        <v>4000000</v>
      </c>
      <c r="Q49" s="93">
        <v>4000000</v>
      </c>
      <c r="R49" s="93">
        <v>4000000</v>
      </c>
      <c r="S49" s="93">
        <v>4000000</v>
      </c>
      <c r="T49" s="93">
        <v>4000000</v>
      </c>
      <c r="U49" s="8"/>
      <c r="V49" s="8"/>
    </row>
    <row r="50" spans="1:22" s="109" customFormat="1">
      <c r="A50" s="108"/>
      <c r="B50" s="94"/>
      <c r="C50" s="94"/>
      <c r="D50" s="94"/>
      <c r="E50" s="94"/>
      <c r="F50" s="94"/>
      <c r="G50" s="94"/>
      <c r="H50" s="94"/>
      <c r="I50" s="94"/>
      <c r="J50" s="94"/>
      <c r="K50" s="94"/>
      <c r="L50" s="94"/>
      <c r="M50" s="94"/>
      <c r="N50" s="94"/>
      <c r="O50" s="94"/>
      <c r="P50" s="94"/>
      <c r="Q50" s="94"/>
      <c r="R50" s="94"/>
      <c r="S50" s="94"/>
      <c r="T50" s="94"/>
      <c r="U50" s="87"/>
      <c r="V50" s="87"/>
    </row>
    <row r="51" spans="1:22" s="107" customFormat="1">
      <c r="A51" s="104" t="s">
        <v>153</v>
      </c>
      <c r="B51" s="105"/>
      <c r="C51" s="105"/>
      <c r="D51" s="105"/>
      <c r="E51" s="105"/>
      <c r="F51" s="105"/>
      <c r="G51" s="105"/>
      <c r="H51" s="105"/>
      <c r="I51" s="105"/>
      <c r="J51" s="105"/>
      <c r="K51" s="105"/>
      <c r="L51" s="105"/>
      <c r="M51" s="105"/>
      <c r="N51" s="105"/>
      <c r="O51" s="105"/>
      <c r="P51" s="105"/>
      <c r="Q51" s="105"/>
      <c r="R51" s="105"/>
      <c r="S51" s="105"/>
      <c r="T51" s="105"/>
      <c r="U51" s="106"/>
      <c r="V51" s="106"/>
    </row>
    <row r="52" spans="1:22" s="109" customFormat="1">
      <c r="A52" s="78" t="s">
        <v>21</v>
      </c>
      <c r="B52" s="79">
        <v>33000000</v>
      </c>
      <c r="C52" s="79"/>
      <c r="D52" s="79"/>
      <c r="E52" s="79">
        <v>20000000</v>
      </c>
      <c r="F52" s="79"/>
      <c r="G52" s="79"/>
      <c r="H52" s="79">
        <v>20000000</v>
      </c>
      <c r="I52" s="79"/>
      <c r="J52" s="79"/>
      <c r="K52" s="79">
        <v>20000000</v>
      </c>
      <c r="L52" s="79"/>
      <c r="M52" s="79"/>
      <c r="N52" s="79">
        <v>20000000</v>
      </c>
      <c r="O52" s="79"/>
      <c r="P52" s="79"/>
      <c r="Q52" s="79">
        <v>20000000</v>
      </c>
      <c r="R52" s="79"/>
      <c r="S52" s="79"/>
      <c r="T52" s="79">
        <v>20000000</v>
      </c>
      <c r="U52" s="87"/>
      <c r="V52" s="87"/>
    </row>
    <row r="53" spans="1:22" s="109" customFormat="1">
      <c r="A53" s="64">
        <v>5312</v>
      </c>
      <c r="B53" s="87">
        <v>30000000</v>
      </c>
      <c r="C53" s="94"/>
      <c r="D53" s="94"/>
      <c r="E53" s="94"/>
      <c r="F53" s="94"/>
      <c r="G53" s="94"/>
      <c r="H53" s="94"/>
      <c r="I53" s="94"/>
      <c r="J53" s="94"/>
      <c r="K53" s="94"/>
      <c r="L53" s="94"/>
      <c r="M53" s="94"/>
      <c r="N53" s="94"/>
      <c r="O53" s="94"/>
      <c r="P53" s="94"/>
      <c r="Q53" s="94"/>
      <c r="R53" s="94"/>
      <c r="S53" s="94"/>
      <c r="T53" s="94"/>
      <c r="U53" s="87"/>
      <c r="V53" s="87"/>
    </row>
    <row r="54" spans="1:22" s="18" customFormat="1">
      <c r="A54" s="66" t="s">
        <v>143</v>
      </c>
      <c r="B54" s="21">
        <v>3000000</v>
      </c>
      <c r="C54" s="20"/>
      <c r="D54" s="20"/>
      <c r="E54" s="20"/>
      <c r="F54" s="21"/>
      <c r="G54" s="20"/>
      <c r="H54" s="20"/>
      <c r="I54" s="22"/>
      <c r="J54" s="23"/>
      <c r="K54" s="20"/>
      <c r="L54" s="20"/>
      <c r="M54" s="20"/>
      <c r="N54" s="20"/>
      <c r="O54" s="20"/>
      <c r="P54" s="20"/>
      <c r="Q54" s="20"/>
      <c r="R54" s="20"/>
      <c r="S54" s="20"/>
      <c r="T54" s="20"/>
      <c r="U54" s="24"/>
      <c r="V54" s="24"/>
    </row>
    <row r="55" spans="1:22">
      <c r="A55" s="95" t="s">
        <v>144</v>
      </c>
      <c r="B55" s="79">
        <v>4500000</v>
      </c>
      <c r="C55" s="83"/>
      <c r="D55" s="83"/>
      <c r="E55" s="94"/>
      <c r="F55" s="109"/>
      <c r="G55" s="109"/>
      <c r="H55" s="94"/>
      <c r="I55" s="122"/>
      <c r="J55" s="122"/>
      <c r="K55" s="94"/>
      <c r="L55" s="83"/>
      <c r="M55" s="83"/>
      <c r="N55" s="94"/>
      <c r="O55" s="83"/>
      <c r="P55" s="83"/>
      <c r="Q55" s="94"/>
      <c r="R55" s="83"/>
      <c r="S55" s="83"/>
      <c r="T55" s="94"/>
    </row>
    <row r="56" spans="1:22" s="109" customFormat="1">
      <c r="A56" s="64" t="s">
        <v>157</v>
      </c>
      <c r="B56" s="87">
        <v>4000000</v>
      </c>
      <c r="C56" s="94"/>
      <c r="D56" s="94"/>
      <c r="E56" s="79">
        <v>7000000</v>
      </c>
      <c r="F56" s="114"/>
      <c r="G56" s="114"/>
      <c r="H56" s="79">
        <v>7000000</v>
      </c>
      <c r="I56" s="115"/>
      <c r="J56" s="115"/>
      <c r="K56" s="79">
        <v>7000000</v>
      </c>
      <c r="L56" s="113"/>
      <c r="M56" s="113"/>
      <c r="N56" s="79">
        <v>7000000</v>
      </c>
      <c r="O56" s="113"/>
      <c r="P56" s="113"/>
      <c r="Q56" s="79">
        <v>7000000</v>
      </c>
      <c r="R56" s="113"/>
      <c r="S56" s="113"/>
      <c r="T56" s="79">
        <v>7000000</v>
      </c>
      <c r="U56" s="87"/>
      <c r="V56" s="87"/>
    </row>
    <row r="57" spans="1:22" s="71" customFormat="1">
      <c r="A57" s="64" t="s">
        <v>22</v>
      </c>
      <c r="B57" s="21">
        <v>500000</v>
      </c>
      <c r="C57" s="20"/>
      <c r="D57" s="20"/>
      <c r="E57" s="118">
        <v>5000000</v>
      </c>
      <c r="F57" s="119"/>
      <c r="G57" s="118"/>
      <c r="H57" s="118">
        <v>5000000</v>
      </c>
      <c r="I57" s="120"/>
      <c r="J57" s="121"/>
      <c r="K57" s="118">
        <v>5000000</v>
      </c>
      <c r="L57" s="118"/>
      <c r="M57" s="118"/>
      <c r="N57" s="118">
        <v>5000000</v>
      </c>
      <c r="O57" s="118"/>
      <c r="P57" s="118"/>
      <c r="Q57" s="118">
        <v>5000000</v>
      </c>
      <c r="R57" s="118"/>
      <c r="S57" s="118"/>
      <c r="T57" s="118">
        <v>5000000</v>
      </c>
      <c r="U57" s="24"/>
      <c r="V57" s="24"/>
    </row>
    <row r="58" spans="1:22">
      <c r="A58" s="95" t="s">
        <v>20</v>
      </c>
      <c r="B58" s="79">
        <v>2120000000</v>
      </c>
      <c r="C58" s="96">
        <v>0</v>
      </c>
      <c r="D58" s="96">
        <v>0</v>
      </c>
      <c r="E58" s="95">
        <v>2301785760</v>
      </c>
      <c r="F58" s="96"/>
      <c r="G58" s="96"/>
      <c r="H58" s="95">
        <v>2352597681</v>
      </c>
      <c r="I58" s="116"/>
      <c r="J58" s="116"/>
      <c r="K58" s="95">
        <v>2406119278</v>
      </c>
      <c r="L58" s="95"/>
      <c r="M58" s="95"/>
      <c r="N58" s="95">
        <v>2464082691</v>
      </c>
      <c r="O58" s="95"/>
      <c r="P58" s="95"/>
      <c r="Q58" s="95">
        <v>2526239177</v>
      </c>
      <c r="R58" s="95"/>
      <c r="S58" s="95"/>
      <c r="T58" s="95">
        <v>2590122713</v>
      </c>
      <c r="U58" s="10"/>
      <c r="V58" s="10"/>
    </row>
    <row r="59" spans="1:22" s="109" customFormat="1">
      <c r="A59" s="112" t="s">
        <v>154</v>
      </c>
      <c r="B59" s="110"/>
      <c r="C59" s="110"/>
      <c r="D59" s="110"/>
      <c r="E59" s="110">
        <v>276214291</v>
      </c>
      <c r="F59" s="110"/>
      <c r="G59" s="110"/>
      <c r="H59" s="110">
        <v>282311722</v>
      </c>
      <c r="I59" s="111"/>
      <c r="J59" s="111"/>
      <c r="K59" s="110">
        <v>288734313</v>
      </c>
      <c r="L59" s="110"/>
      <c r="M59" s="110"/>
      <c r="N59" s="110">
        <v>295689923</v>
      </c>
      <c r="O59" s="110"/>
      <c r="P59" s="110"/>
      <c r="Q59" s="110">
        <v>303148701</v>
      </c>
      <c r="R59" s="110"/>
      <c r="S59" s="110"/>
      <c r="T59" s="110">
        <v>310814726</v>
      </c>
      <c r="U59" s="117"/>
      <c r="V59" s="117"/>
    </row>
    <row r="60" spans="1:22" s="101" customFormat="1">
      <c r="A60" s="95" t="s">
        <v>19</v>
      </c>
      <c r="B60" s="79">
        <v>105933000</v>
      </c>
      <c r="C60" s="96">
        <v>0</v>
      </c>
      <c r="D60" s="96">
        <v>0</v>
      </c>
      <c r="E60" s="95">
        <v>115016543</v>
      </c>
      <c r="F60" s="96"/>
      <c r="G60" s="96"/>
      <c r="H60" s="95">
        <v>117555533</v>
      </c>
      <c r="I60" s="116"/>
      <c r="J60" s="116"/>
      <c r="K60" s="95">
        <v>120229921</v>
      </c>
      <c r="L60" s="95"/>
      <c r="M60" s="95"/>
      <c r="N60" s="95">
        <v>123126260</v>
      </c>
      <c r="O60" s="95"/>
      <c r="P60" s="95"/>
      <c r="Q60" s="95">
        <v>126232120</v>
      </c>
      <c r="R60" s="95"/>
      <c r="S60" s="95"/>
      <c r="T60" s="95">
        <v>129424278</v>
      </c>
      <c r="U60" s="68"/>
      <c r="V60" s="68"/>
    </row>
    <row r="61" spans="1:22">
      <c r="A61" s="64" t="s">
        <v>155</v>
      </c>
      <c r="B61" s="102">
        <v>4500000</v>
      </c>
      <c r="C61" s="1"/>
      <c r="E61" s="7">
        <v>8000000</v>
      </c>
      <c r="H61" s="102">
        <v>8000000</v>
      </c>
      <c r="I61" s="51"/>
      <c r="K61" s="102">
        <v>8000000</v>
      </c>
      <c r="N61" s="102">
        <v>8000000</v>
      </c>
      <c r="Q61" s="102">
        <v>8000000</v>
      </c>
      <c r="R61" s="7"/>
      <c r="S61" s="7"/>
      <c r="T61" s="102">
        <v>8000000</v>
      </c>
    </row>
    <row r="62" spans="1:22">
      <c r="A62" s="64" t="s">
        <v>156</v>
      </c>
      <c r="B62" s="102">
        <v>1000000</v>
      </c>
      <c r="C62" s="1"/>
      <c r="E62" s="7">
        <v>2000000</v>
      </c>
      <c r="F62" s="53"/>
      <c r="H62" s="102">
        <v>2000000</v>
      </c>
      <c r="J62" s="51"/>
      <c r="K62" s="102">
        <v>2000000</v>
      </c>
      <c r="N62" s="102">
        <v>2000000</v>
      </c>
      <c r="Q62" s="102">
        <v>2000000</v>
      </c>
      <c r="R62" s="7"/>
      <c r="S62" s="54"/>
      <c r="T62" s="102">
        <v>2000000</v>
      </c>
    </row>
    <row r="63" spans="1:22">
      <c r="B63" s="45"/>
      <c r="C63" s="1"/>
      <c r="E63" s="7"/>
      <c r="F63" s="53"/>
      <c r="J63" s="51"/>
      <c r="L63" s="7"/>
      <c r="R63" s="7"/>
      <c r="S63" s="54"/>
    </row>
    <row r="64" spans="1:22">
      <c r="L64" s="7"/>
      <c r="R64" s="7"/>
      <c r="S64" s="7"/>
    </row>
    <row r="65" spans="2:19">
      <c r="L65" s="7"/>
      <c r="R65" s="7"/>
      <c r="S65" s="7"/>
    </row>
    <row r="66" spans="2:19">
      <c r="B66" s="45"/>
      <c r="C66" s="46"/>
      <c r="E66" s="45"/>
      <c r="F66" s="48"/>
      <c r="G66"/>
      <c r="H66" s="51"/>
      <c r="I66" s="7"/>
      <c r="J66" s="7"/>
      <c r="K66" s="46"/>
      <c r="M66" s="7"/>
      <c r="R66" s="7"/>
      <c r="S66" s="7"/>
    </row>
    <row r="67" spans="2:19">
      <c r="B67" s="46"/>
      <c r="C67" s="46"/>
      <c r="E67" s="7"/>
      <c r="G67"/>
      <c r="H67" s="51"/>
      <c r="I67" s="7"/>
      <c r="J67" s="7"/>
      <c r="M67" s="7"/>
      <c r="R67" s="7"/>
      <c r="S67" s="7"/>
    </row>
    <row r="68" spans="2:19">
      <c r="H68" s="7"/>
      <c r="J68" s="51"/>
      <c r="L68" s="7"/>
      <c r="M68" s="7"/>
      <c r="S68" s="7"/>
    </row>
    <row r="69" spans="2:19">
      <c r="E69" s="7"/>
      <c r="H69" s="7"/>
      <c r="L69" s="7"/>
      <c r="M69" s="7"/>
      <c r="R69" s="7"/>
    </row>
    <row r="70" spans="2:19">
      <c r="E70" s="7"/>
      <c r="F70" s="61"/>
      <c r="N70" s="7"/>
      <c r="O70" s="7"/>
    </row>
    <row r="71" spans="2:19">
      <c r="E71" s="65"/>
      <c r="I71" s="52"/>
      <c r="N71" s="7"/>
      <c r="O71" s="7"/>
    </row>
    <row r="72" spans="2:19">
      <c r="E72" s="65"/>
      <c r="F72" s="61"/>
    </row>
  </sheetData>
  <pageMargins left="0" right="0" top="0.25" bottom="0.25" header="0.3" footer="0.3"/>
  <pageSetup paperSize="3" orientation="landscape"/>
  <ignoredErrors>
    <ignoredError sqref="B31:B33 B8:B9 B3:B5 B24:B29 B12 B35:B36" formulaRang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93"/>
  <sheetViews>
    <sheetView tabSelected="1" workbookViewId="0">
      <pane ySplit="9" topLeftCell="A16" activePane="bottomLeft" state="frozen"/>
      <selection activeCell="F76" sqref="F76"/>
      <selection pane="bottomLeft" activeCell="G26" sqref="G26"/>
    </sheetView>
  </sheetViews>
  <sheetFormatPr baseColWidth="10" defaultColWidth="9.1640625" defaultRowHeight="11" x14ac:dyDescent="0"/>
  <cols>
    <col min="1" max="1" width="29.33203125" style="19" customWidth="1"/>
    <col min="2" max="3" width="20.1640625" style="19" customWidth="1"/>
    <col min="4" max="4" width="20.1640625" style="72" hidden="1" customWidth="1"/>
    <col min="5" max="6" width="17.1640625" style="19" customWidth="1"/>
    <col min="7" max="7" width="20.6640625" style="19" customWidth="1"/>
    <col min="8" max="8" width="20" style="19" customWidth="1"/>
    <col min="9" max="9" width="17.5" style="19" customWidth="1"/>
    <col min="10" max="10" width="19.83203125" style="19" customWidth="1"/>
    <col min="11" max="11" width="17.1640625" style="19" customWidth="1"/>
    <col min="12" max="12" width="17.1640625" style="72" hidden="1" customWidth="1"/>
    <col min="13" max="13" width="17.1640625" style="19" customWidth="1"/>
    <col min="14" max="14" width="17.1640625" style="72" customWidth="1"/>
    <col min="15" max="15" width="15.83203125" style="19" customWidth="1"/>
    <col min="16" max="18" width="15.5" style="19" customWidth="1"/>
    <col min="19" max="19" width="16" style="19" customWidth="1"/>
    <col min="20" max="20" width="9.1640625" style="19" customWidth="1"/>
    <col min="21" max="21" width="17.33203125" style="19" customWidth="1"/>
    <col min="22" max="22" width="16.5" style="19" bestFit="1" customWidth="1"/>
    <col min="23" max="23" width="10.83203125" style="19" bestFit="1" customWidth="1"/>
    <col min="24" max="260" width="9.1640625" style="19"/>
    <col min="261" max="261" width="29.33203125" style="19" customWidth="1"/>
    <col min="262" max="263" width="20.1640625" style="19" customWidth="1"/>
    <col min="264" max="265" width="17.1640625" style="19" customWidth="1"/>
    <col min="266" max="266" width="21.5" style="19" customWidth="1"/>
    <col min="267" max="267" width="18.33203125" style="19" customWidth="1"/>
    <col min="268" max="268" width="28.5" style="19" customWidth="1"/>
    <col min="269" max="269" width="21" style="19" customWidth="1"/>
    <col min="270" max="270" width="17.5" style="19" customWidth="1"/>
    <col min="271" max="271" width="22.6640625" style="19" customWidth="1"/>
    <col min="272" max="272" width="17.1640625" style="19" customWidth="1"/>
    <col min="273" max="273" width="15.83203125" style="19" customWidth="1"/>
    <col min="274" max="274" width="15.5" style="19" customWidth="1"/>
    <col min="275" max="275" width="16" style="19" customWidth="1"/>
    <col min="276" max="276" width="9.1640625" style="19" customWidth="1"/>
    <col min="277" max="277" width="17.33203125" style="19" customWidth="1"/>
    <col min="278" max="278" width="16.5" style="19" bestFit="1" customWidth="1"/>
    <col min="279" max="279" width="10.83203125" style="19" bestFit="1" customWidth="1"/>
    <col min="280" max="516" width="9.1640625" style="19"/>
    <col min="517" max="517" width="29.33203125" style="19" customWidth="1"/>
    <col min="518" max="519" width="20.1640625" style="19" customWidth="1"/>
    <col min="520" max="521" width="17.1640625" style="19" customWidth="1"/>
    <col min="522" max="522" width="21.5" style="19" customWidth="1"/>
    <col min="523" max="523" width="18.33203125" style="19" customWidth="1"/>
    <col min="524" max="524" width="28.5" style="19" customWidth="1"/>
    <col min="525" max="525" width="21" style="19" customWidth="1"/>
    <col min="526" max="526" width="17.5" style="19" customWidth="1"/>
    <col min="527" max="527" width="22.6640625" style="19" customWidth="1"/>
    <col min="528" max="528" width="17.1640625" style="19" customWidth="1"/>
    <col min="529" max="529" width="15.83203125" style="19" customWidth="1"/>
    <col min="530" max="530" width="15.5" style="19" customWidth="1"/>
    <col min="531" max="531" width="16" style="19" customWidth="1"/>
    <col min="532" max="532" width="9.1640625" style="19" customWidth="1"/>
    <col min="533" max="533" width="17.33203125" style="19" customWidth="1"/>
    <col min="534" max="534" width="16.5" style="19" bestFit="1" customWidth="1"/>
    <col min="535" max="535" width="10.83203125" style="19" bestFit="1" customWidth="1"/>
    <col min="536" max="772" width="9.1640625" style="19"/>
    <col min="773" max="773" width="29.33203125" style="19" customWidth="1"/>
    <col min="774" max="775" width="20.1640625" style="19" customWidth="1"/>
    <col min="776" max="777" width="17.1640625" style="19" customWidth="1"/>
    <col min="778" max="778" width="21.5" style="19" customWidth="1"/>
    <col min="779" max="779" width="18.33203125" style="19" customWidth="1"/>
    <col min="780" max="780" width="28.5" style="19" customWidth="1"/>
    <col min="781" max="781" width="21" style="19" customWidth="1"/>
    <col min="782" max="782" width="17.5" style="19" customWidth="1"/>
    <col min="783" max="783" width="22.6640625" style="19" customWidth="1"/>
    <col min="784" max="784" width="17.1640625" style="19" customWidth="1"/>
    <col min="785" max="785" width="15.83203125" style="19" customWidth="1"/>
    <col min="786" max="786" width="15.5" style="19" customWidth="1"/>
    <col min="787" max="787" width="16" style="19" customWidth="1"/>
    <col min="788" max="788" width="9.1640625" style="19" customWidth="1"/>
    <col min="789" max="789" width="17.33203125" style="19" customWidth="1"/>
    <col min="790" max="790" width="16.5" style="19" bestFit="1" customWidth="1"/>
    <col min="791" max="791" width="10.83203125" style="19" bestFit="1" customWidth="1"/>
    <col min="792" max="1028" width="9.1640625" style="19"/>
    <col min="1029" max="1029" width="29.33203125" style="19" customWidth="1"/>
    <col min="1030" max="1031" width="20.1640625" style="19" customWidth="1"/>
    <col min="1032" max="1033" width="17.1640625" style="19" customWidth="1"/>
    <col min="1034" max="1034" width="21.5" style="19" customWidth="1"/>
    <col min="1035" max="1035" width="18.33203125" style="19" customWidth="1"/>
    <col min="1036" max="1036" width="28.5" style="19" customWidth="1"/>
    <col min="1037" max="1037" width="21" style="19" customWidth="1"/>
    <col min="1038" max="1038" width="17.5" style="19" customWidth="1"/>
    <col min="1039" max="1039" width="22.6640625" style="19" customWidth="1"/>
    <col min="1040" max="1040" width="17.1640625" style="19" customWidth="1"/>
    <col min="1041" max="1041" width="15.83203125" style="19" customWidth="1"/>
    <col min="1042" max="1042" width="15.5" style="19" customWidth="1"/>
    <col min="1043" max="1043" width="16" style="19" customWidth="1"/>
    <col min="1044" max="1044" width="9.1640625" style="19" customWidth="1"/>
    <col min="1045" max="1045" width="17.33203125" style="19" customWidth="1"/>
    <col min="1046" max="1046" width="16.5" style="19" bestFit="1" customWidth="1"/>
    <col min="1047" max="1047" width="10.83203125" style="19" bestFit="1" customWidth="1"/>
    <col min="1048" max="1284" width="9.1640625" style="19"/>
    <col min="1285" max="1285" width="29.33203125" style="19" customWidth="1"/>
    <col min="1286" max="1287" width="20.1640625" style="19" customWidth="1"/>
    <col min="1288" max="1289" width="17.1640625" style="19" customWidth="1"/>
    <col min="1290" max="1290" width="21.5" style="19" customWidth="1"/>
    <col min="1291" max="1291" width="18.33203125" style="19" customWidth="1"/>
    <col min="1292" max="1292" width="28.5" style="19" customWidth="1"/>
    <col min="1293" max="1293" width="21" style="19" customWidth="1"/>
    <col min="1294" max="1294" width="17.5" style="19" customWidth="1"/>
    <col min="1295" max="1295" width="22.6640625" style="19" customWidth="1"/>
    <col min="1296" max="1296" width="17.1640625" style="19" customWidth="1"/>
    <col min="1297" max="1297" width="15.83203125" style="19" customWidth="1"/>
    <col min="1298" max="1298" width="15.5" style="19" customWidth="1"/>
    <col min="1299" max="1299" width="16" style="19" customWidth="1"/>
    <col min="1300" max="1300" width="9.1640625" style="19" customWidth="1"/>
    <col min="1301" max="1301" width="17.33203125" style="19" customWidth="1"/>
    <col min="1302" max="1302" width="16.5" style="19" bestFit="1" customWidth="1"/>
    <col min="1303" max="1303" width="10.83203125" style="19" bestFit="1" customWidth="1"/>
    <col min="1304" max="1540" width="9.1640625" style="19"/>
    <col min="1541" max="1541" width="29.33203125" style="19" customWidth="1"/>
    <col min="1542" max="1543" width="20.1640625" style="19" customWidth="1"/>
    <col min="1544" max="1545" width="17.1640625" style="19" customWidth="1"/>
    <col min="1546" max="1546" width="21.5" style="19" customWidth="1"/>
    <col min="1547" max="1547" width="18.33203125" style="19" customWidth="1"/>
    <col min="1548" max="1548" width="28.5" style="19" customWidth="1"/>
    <col min="1549" max="1549" width="21" style="19" customWidth="1"/>
    <col min="1550" max="1550" width="17.5" style="19" customWidth="1"/>
    <col min="1551" max="1551" width="22.6640625" style="19" customWidth="1"/>
    <col min="1552" max="1552" width="17.1640625" style="19" customWidth="1"/>
    <col min="1553" max="1553" width="15.83203125" style="19" customWidth="1"/>
    <col min="1554" max="1554" width="15.5" style="19" customWidth="1"/>
    <col min="1555" max="1555" width="16" style="19" customWidth="1"/>
    <col min="1556" max="1556" width="9.1640625" style="19" customWidth="1"/>
    <col min="1557" max="1557" width="17.33203125" style="19" customWidth="1"/>
    <col min="1558" max="1558" width="16.5" style="19" bestFit="1" customWidth="1"/>
    <col min="1559" max="1559" width="10.83203125" style="19" bestFit="1" customWidth="1"/>
    <col min="1560" max="1796" width="9.1640625" style="19"/>
    <col min="1797" max="1797" width="29.33203125" style="19" customWidth="1"/>
    <col min="1798" max="1799" width="20.1640625" style="19" customWidth="1"/>
    <col min="1800" max="1801" width="17.1640625" style="19" customWidth="1"/>
    <col min="1802" max="1802" width="21.5" style="19" customWidth="1"/>
    <col min="1803" max="1803" width="18.33203125" style="19" customWidth="1"/>
    <col min="1804" max="1804" width="28.5" style="19" customWidth="1"/>
    <col min="1805" max="1805" width="21" style="19" customWidth="1"/>
    <col min="1806" max="1806" width="17.5" style="19" customWidth="1"/>
    <col min="1807" max="1807" width="22.6640625" style="19" customWidth="1"/>
    <col min="1808" max="1808" width="17.1640625" style="19" customWidth="1"/>
    <col min="1809" max="1809" width="15.83203125" style="19" customWidth="1"/>
    <col min="1810" max="1810" width="15.5" style="19" customWidth="1"/>
    <col min="1811" max="1811" width="16" style="19" customWidth="1"/>
    <col min="1812" max="1812" width="9.1640625" style="19" customWidth="1"/>
    <col min="1813" max="1813" width="17.33203125" style="19" customWidth="1"/>
    <col min="1814" max="1814" width="16.5" style="19" bestFit="1" customWidth="1"/>
    <col min="1815" max="1815" width="10.83203125" style="19" bestFit="1" customWidth="1"/>
    <col min="1816" max="2052" width="9.1640625" style="19"/>
    <col min="2053" max="2053" width="29.33203125" style="19" customWidth="1"/>
    <col min="2054" max="2055" width="20.1640625" style="19" customWidth="1"/>
    <col min="2056" max="2057" width="17.1640625" style="19" customWidth="1"/>
    <col min="2058" max="2058" width="21.5" style="19" customWidth="1"/>
    <col min="2059" max="2059" width="18.33203125" style="19" customWidth="1"/>
    <col min="2060" max="2060" width="28.5" style="19" customWidth="1"/>
    <col min="2061" max="2061" width="21" style="19" customWidth="1"/>
    <col min="2062" max="2062" width="17.5" style="19" customWidth="1"/>
    <col min="2063" max="2063" width="22.6640625" style="19" customWidth="1"/>
    <col min="2064" max="2064" width="17.1640625" style="19" customWidth="1"/>
    <col min="2065" max="2065" width="15.83203125" style="19" customWidth="1"/>
    <col min="2066" max="2066" width="15.5" style="19" customWidth="1"/>
    <col min="2067" max="2067" width="16" style="19" customWidth="1"/>
    <col min="2068" max="2068" width="9.1640625" style="19" customWidth="1"/>
    <col min="2069" max="2069" width="17.33203125" style="19" customWidth="1"/>
    <col min="2070" max="2070" width="16.5" style="19" bestFit="1" customWidth="1"/>
    <col min="2071" max="2071" width="10.83203125" style="19" bestFit="1" customWidth="1"/>
    <col min="2072" max="2308" width="9.1640625" style="19"/>
    <col min="2309" max="2309" width="29.33203125" style="19" customWidth="1"/>
    <col min="2310" max="2311" width="20.1640625" style="19" customWidth="1"/>
    <col min="2312" max="2313" width="17.1640625" style="19" customWidth="1"/>
    <col min="2314" max="2314" width="21.5" style="19" customWidth="1"/>
    <col min="2315" max="2315" width="18.33203125" style="19" customWidth="1"/>
    <col min="2316" max="2316" width="28.5" style="19" customWidth="1"/>
    <col min="2317" max="2317" width="21" style="19" customWidth="1"/>
    <col min="2318" max="2318" width="17.5" style="19" customWidth="1"/>
    <col min="2319" max="2319" width="22.6640625" style="19" customWidth="1"/>
    <col min="2320" max="2320" width="17.1640625" style="19" customWidth="1"/>
    <col min="2321" max="2321" width="15.83203125" style="19" customWidth="1"/>
    <col min="2322" max="2322" width="15.5" style="19" customWidth="1"/>
    <col min="2323" max="2323" width="16" style="19" customWidth="1"/>
    <col min="2324" max="2324" width="9.1640625" style="19" customWidth="1"/>
    <col min="2325" max="2325" width="17.33203125" style="19" customWidth="1"/>
    <col min="2326" max="2326" width="16.5" style="19" bestFit="1" customWidth="1"/>
    <col min="2327" max="2327" width="10.83203125" style="19" bestFit="1" customWidth="1"/>
    <col min="2328" max="2564" width="9.1640625" style="19"/>
    <col min="2565" max="2565" width="29.33203125" style="19" customWidth="1"/>
    <col min="2566" max="2567" width="20.1640625" style="19" customWidth="1"/>
    <col min="2568" max="2569" width="17.1640625" style="19" customWidth="1"/>
    <col min="2570" max="2570" width="21.5" style="19" customWidth="1"/>
    <col min="2571" max="2571" width="18.33203125" style="19" customWidth="1"/>
    <col min="2572" max="2572" width="28.5" style="19" customWidth="1"/>
    <col min="2573" max="2573" width="21" style="19" customWidth="1"/>
    <col min="2574" max="2574" width="17.5" style="19" customWidth="1"/>
    <col min="2575" max="2575" width="22.6640625" style="19" customWidth="1"/>
    <col min="2576" max="2576" width="17.1640625" style="19" customWidth="1"/>
    <col min="2577" max="2577" width="15.83203125" style="19" customWidth="1"/>
    <col min="2578" max="2578" width="15.5" style="19" customWidth="1"/>
    <col min="2579" max="2579" width="16" style="19" customWidth="1"/>
    <col min="2580" max="2580" width="9.1640625" style="19" customWidth="1"/>
    <col min="2581" max="2581" width="17.33203125" style="19" customWidth="1"/>
    <col min="2582" max="2582" width="16.5" style="19" bestFit="1" customWidth="1"/>
    <col min="2583" max="2583" width="10.83203125" style="19" bestFit="1" customWidth="1"/>
    <col min="2584" max="2820" width="9.1640625" style="19"/>
    <col min="2821" max="2821" width="29.33203125" style="19" customWidth="1"/>
    <col min="2822" max="2823" width="20.1640625" style="19" customWidth="1"/>
    <col min="2824" max="2825" width="17.1640625" style="19" customWidth="1"/>
    <col min="2826" max="2826" width="21.5" style="19" customWidth="1"/>
    <col min="2827" max="2827" width="18.33203125" style="19" customWidth="1"/>
    <col min="2828" max="2828" width="28.5" style="19" customWidth="1"/>
    <col min="2829" max="2829" width="21" style="19" customWidth="1"/>
    <col min="2830" max="2830" width="17.5" style="19" customWidth="1"/>
    <col min="2831" max="2831" width="22.6640625" style="19" customWidth="1"/>
    <col min="2832" max="2832" width="17.1640625" style="19" customWidth="1"/>
    <col min="2833" max="2833" width="15.83203125" style="19" customWidth="1"/>
    <col min="2834" max="2834" width="15.5" style="19" customWidth="1"/>
    <col min="2835" max="2835" width="16" style="19" customWidth="1"/>
    <col min="2836" max="2836" width="9.1640625" style="19" customWidth="1"/>
    <col min="2837" max="2837" width="17.33203125" style="19" customWidth="1"/>
    <col min="2838" max="2838" width="16.5" style="19" bestFit="1" customWidth="1"/>
    <col min="2839" max="2839" width="10.83203125" style="19" bestFit="1" customWidth="1"/>
    <col min="2840" max="3076" width="9.1640625" style="19"/>
    <col min="3077" max="3077" width="29.33203125" style="19" customWidth="1"/>
    <col min="3078" max="3079" width="20.1640625" style="19" customWidth="1"/>
    <col min="3080" max="3081" width="17.1640625" style="19" customWidth="1"/>
    <col min="3082" max="3082" width="21.5" style="19" customWidth="1"/>
    <col min="3083" max="3083" width="18.33203125" style="19" customWidth="1"/>
    <col min="3084" max="3084" width="28.5" style="19" customWidth="1"/>
    <col min="3085" max="3085" width="21" style="19" customWidth="1"/>
    <col min="3086" max="3086" width="17.5" style="19" customWidth="1"/>
    <col min="3087" max="3087" width="22.6640625" style="19" customWidth="1"/>
    <col min="3088" max="3088" width="17.1640625" style="19" customWidth="1"/>
    <col min="3089" max="3089" width="15.83203125" style="19" customWidth="1"/>
    <col min="3090" max="3090" width="15.5" style="19" customWidth="1"/>
    <col min="3091" max="3091" width="16" style="19" customWidth="1"/>
    <col min="3092" max="3092" width="9.1640625" style="19" customWidth="1"/>
    <col min="3093" max="3093" width="17.33203125" style="19" customWidth="1"/>
    <col min="3094" max="3094" width="16.5" style="19" bestFit="1" customWidth="1"/>
    <col min="3095" max="3095" width="10.83203125" style="19" bestFit="1" customWidth="1"/>
    <col min="3096" max="3332" width="9.1640625" style="19"/>
    <col min="3333" max="3333" width="29.33203125" style="19" customWidth="1"/>
    <col min="3334" max="3335" width="20.1640625" style="19" customWidth="1"/>
    <col min="3336" max="3337" width="17.1640625" style="19" customWidth="1"/>
    <col min="3338" max="3338" width="21.5" style="19" customWidth="1"/>
    <col min="3339" max="3339" width="18.33203125" style="19" customWidth="1"/>
    <col min="3340" max="3340" width="28.5" style="19" customWidth="1"/>
    <col min="3341" max="3341" width="21" style="19" customWidth="1"/>
    <col min="3342" max="3342" width="17.5" style="19" customWidth="1"/>
    <col min="3343" max="3343" width="22.6640625" style="19" customWidth="1"/>
    <col min="3344" max="3344" width="17.1640625" style="19" customWidth="1"/>
    <col min="3345" max="3345" width="15.83203125" style="19" customWidth="1"/>
    <col min="3346" max="3346" width="15.5" style="19" customWidth="1"/>
    <col min="3347" max="3347" width="16" style="19" customWidth="1"/>
    <col min="3348" max="3348" width="9.1640625" style="19" customWidth="1"/>
    <col min="3349" max="3349" width="17.33203125" style="19" customWidth="1"/>
    <col min="3350" max="3350" width="16.5" style="19" bestFit="1" customWidth="1"/>
    <col min="3351" max="3351" width="10.83203125" style="19" bestFit="1" customWidth="1"/>
    <col min="3352" max="3588" width="9.1640625" style="19"/>
    <col min="3589" max="3589" width="29.33203125" style="19" customWidth="1"/>
    <col min="3590" max="3591" width="20.1640625" style="19" customWidth="1"/>
    <col min="3592" max="3593" width="17.1640625" style="19" customWidth="1"/>
    <col min="3594" max="3594" width="21.5" style="19" customWidth="1"/>
    <col min="3595" max="3595" width="18.33203125" style="19" customWidth="1"/>
    <col min="3596" max="3596" width="28.5" style="19" customWidth="1"/>
    <col min="3597" max="3597" width="21" style="19" customWidth="1"/>
    <col min="3598" max="3598" width="17.5" style="19" customWidth="1"/>
    <col min="3599" max="3599" width="22.6640625" style="19" customWidth="1"/>
    <col min="3600" max="3600" width="17.1640625" style="19" customWidth="1"/>
    <col min="3601" max="3601" width="15.83203125" style="19" customWidth="1"/>
    <col min="3602" max="3602" width="15.5" style="19" customWidth="1"/>
    <col min="3603" max="3603" width="16" style="19" customWidth="1"/>
    <col min="3604" max="3604" width="9.1640625" style="19" customWidth="1"/>
    <col min="3605" max="3605" width="17.33203125" style="19" customWidth="1"/>
    <col min="3606" max="3606" width="16.5" style="19" bestFit="1" customWidth="1"/>
    <col min="3607" max="3607" width="10.83203125" style="19" bestFit="1" customWidth="1"/>
    <col min="3608" max="3844" width="9.1640625" style="19"/>
    <col min="3845" max="3845" width="29.33203125" style="19" customWidth="1"/>
    <col min="3846" max="3847" width="20.1640625" style="19" customWidth="1"/>
    <col min="3848" max="3849" width="17.1640625" style="19" customWidth="1"/>
    <col min="3850" max="3850" width="21.5" style="19" customWidth="1"/>
    <col min="3851" max="3851" width="18.33203125" style="19" customWidth="1"/>
    <col min="3852" max="3852" width="28.5" style="19" customWidth="1"/>
    <col min="3853" max="3853" width="21" style="19" customWidth="1"/>
    <col min="3854" max="3854" width="17.5" style="19" customWidth="1"/>
    <col min="3855" max="3855" width="22.6640625" style="19" customWidth="1"/>
    <col min="3856" max="3856" width="17.1640625" style="19" customWidth="1"/>
    <col min="3857" max="3857" width="15.83203125" style="19" customWidth="1"/>
    <col min="3858" max="3858" width="15.5" style="19" customWidth="1"/>
    <col min="3859" max="3859" width="16" style="19" customWidth="1"/>
    <col min="3860" max="3860" width="9.1640625" style="19" customWidth="1"/>
    <col min="3861" max="3861" width="17.33203125" style="19" customWidth="1"/>
    <col min="3862" max="3862" width="16.5" style="19" bestFit="1" customWidth="1"/>
    <col min="3863" max="3863" width="10.83203125" style="19" bestFit="1" customWidth="1"/>
    <col min="3864" max="4100" width="9.1640625" style="19"/>
    <col min="4101" max="4101" width="29.33203125" style="19" customWidth="1"/>
    <col min="4102" max="4103" width="20.1640625" style="19" customWidth="1"/>
    <col min="4104" max="4105" width="17.1640625" style="19" customWidth="1"/>
    <col min="4106" max="4106" width="21.5" style="19" customWidth="1"/>
    <col min="4107" max="4107" width="18.33203125" style="19" customWidth="1"/>
    <col min="4108" max="4108" width="28.5" style="19" customWidth="1"/>
    <col min="4109" max="4109" width="21" style="19" customWidth="1"/>
    <col min="4110" max="4110" width="17.5" style="19" customWidth="1"/>
    <col min="4111" max="4111" width="22.6640625" style="19" customWidth="1"/>
    <col min="4112" max="4112" width="17.1640625" style="19" customWidth="1"/>
    <col min="4113" max="4113" width="15.83203125" style="19" customWidth="1"/>
    <col min="4114" max="4114" width="15.5" style="19" customWidth="1"/>
    <col min="4115" max="4115" width="16" style="19" customWidth="1"/>
    <col min="4116" max="4116" width="9.1640625" style="19" customWidth="1"/>
    <col min="4117" max="4117" width="17.33203125" style="19" customWidth="1"/>
    <col min="4118" max="4118" width="16.5" style="19" bestFit="1" customWidth="1"/>
    <col min="4119" max="4119" width="10.83203125" style="19" bestFit="1" customWidth="1"/>
    <col min="4120" max="4356" width="9.1640625" style="19"/>
    <col min="4357" max="4357" width="29.33203125" style="19" customWidth="1"/>
    <col min="4358" max="4359" width="20.1640625" style="19" customWidth="1"/>
    <col min="4360" max="4361" width="17.1640625" style="19" customWidth="1"/>
    <col min="4362" max="4362" width="21.5" style="19" customWidth="1"/>
    <col min="4363" max="4363" width="18.33203125" style="19" customWidth="1"/>
    <col min="4364" max="4364" width="28.5" style="19" customWidth="1"/>
    <col min="4365" max="4365" width="21" style="19" customWidth="1"/>
    <col min="4366" max="4366" width="17.5" style="19" customWidth="1"/>
    <col min="4367" max="4367" width="22.6640625" style="19" customWidth="1"/>
    <col min="4368" max="4368" width="17.1640625" style="19" customWidth="1"/>
    <col min="4369" max="4369" width="15.83203125" style="19" customWidth="1"/>
    <col min="4370" max="4370" width="15.5" style="19" customWidth="1"/>
    <col min="4371" max="4371" width="16" style="19" customWidth="1"/>
    <col min="4372" max="4372" width="9.1640625" style="19" customWidth="1"/>
    <col min="4373" max="4373" width="17.33203125" style="19" customWidth="1"/>
    <col min="4374" max="4374" width="16.5" style="19" bestFit="1" customWidth="1"/>
    <col min="4375" max="4375" width="10.83203125" style="19" bestFit="1" customWidth="1"/>
    <col min="4376" max="4612" width="9.1640625" style="19"/>
    <col min="4613" max="4613" width="29.33203125" style="19" customWidth="1"/>
    <col min="4614" max="4615" width="20.1640625" style="19" customWidth="1"/>
    <col min="4616" max="4617" width="17.1640625" style="19" customWidth="1"/>
    <col min="4618" max="4618" width="21.5" style="19" customWidth="1"/>
    <col min="4619" max="4619" width="18.33203125" style="19" customWidth="1"/>
    <col min="4620" max="4620" width="28.5" style="19" customWidth="1"/>
    <col min="4621" max="4621" width="21" style="19" customWidth="1"/>
    <col min="4622" max="4622" width="17.5" style="19" customWidth="1"/>
    <col min="4623" max="4623" width="22.6640625" style="19" customWidth="1"/>
    <col min="4624" max="4624" width="17.1640625" style="19" customWidth="1"/>
    <col min="4625" max="4625" width="15.83203125" style="19" customWidth="1"/>
    <col min="4626" max="4626" width="15.5" style="19" customWidth="1"/>
    <col min="4627" max="4627" width="16" style="19" customWidth="1"/>
    <col min="4628" max="4628" width="9.1640625" style="19" customWidth="1"/>
    <col min="4629" max="4629" width="17.33203125" style="19" customWidth="1"/>
    <col min="4630" max="4630" width="16.5" style="19" bestFit="1" customWidth="1"/>
    <col min="4631" max="4631" width="10.83203125" style="19" bestFit="1" customWidth="1"/>
    <col min="4632" max="4868" width="9.1640625" style="19"/>
    <col min="4869" max="4869" width="29.33203125" style="19" customWidth="1"/>
    <col min="4870" max="4871" width="20.1640625" style="19" customWidth="1"/>
    <col min="4872" max="4873" width="17.1640625" style="19" customWidth="1"/>
    <col min="4874" max="4874" width="21.5" style="19" customWidth="1"/>
    <col min="4875" max="4875" width="18.33203125" style="19" customWidth="1"/>
    <col min="4876" max="4876" width="28.5" style="19" customWidth="1"/>
    <col min="4877" max="4877" width="21" style="19" customWidth="1"/>
    <col min="4878" max="4878" width="17.5" style="19" customWidth="1"/>
    <col min="4879" max="4879" width="22.6640625" style="19" customWidth="1"/>
    <col min="4880" max="4880" width="17.1640625" style="19" customWidth="1"/>
    <col min="4881" max="4881" width="15.83203125" style="19" customWidth="1"/>
    <col min="4882" max="4882" width="15.5" style="19" customWidth="1"/>
    <col min="4883" max="4883" width="16" style="19" customWidth="1"/>
    <col min="4884" max="4884" width="9.1640625" style="19" customWidth="1"/>
    <col min="4885" max="4885" width="17.33203125" style="19" customWidth="1"/>
    <col min="4886" max="4886" width="16.5" style="19" bestFit="1" customWidth="1"/>
    <col min="4887" max="4887" width="10.83203125" style="19" bestFit="1" customWidth="1"/>
    <col min="4888" max="5124" width="9.1640625" style="19"/>
    <col min="5125" max="5125" width="29.33203125" style="19" customWidth="1"/>
    <col min="5126" max="5127" width="20.1640625" style="19" customWidth="1"/>
    <col min="5128" max="5129" width="17.1640625" style="19" customWidth="1"/>
    <col min="5130" max="5130" width="21.5" style="19" customWidth="1"/>
    <col min="5131" max="5131" width="18.33203125" style="19" customWidth="1"/>
    <col min="5132" max="5132" width="28.5" style="19" customWidth="1"/>
    <col min="5133" max="5133" width="21" style="19" customWidth="1"/>
    <col min="5134" max="5134" width="17.5" style="19" customWidth="1"/>
    <col min="5135" max="5135" width="22.6640625" style="19" customWidth="1"/>
    <col min="5136" max="5136" width="17.1640625" style="19" customWidth="1"/>
    <col min="5137" max="5137" width="15.83203125" style="19" customWidth="1"/>
    <col min="5138" max="5138" width="15.5" style="19" customWidth="1"/>
    <col min="5139" max="5139" width="16" style="19" customWidth="1"/>
    <col min="5140" max="5140" width="9.1640625" style="19" customWidth="1"/>
    <col min="5141" max="5141" width="17.33203125" style="19" customWidth="1"/>
    <col min="5142" max="5142" width="16.5" style="19" bestFit="1" customWidth="1"/>
    <col min="5143" max="5143" width="10.83203125" style="19" bestFit="1" customWidth="1"/>
    <col min="5144" max="5380" width="9.1640625" style="19"/>
    <col min="5381" max="5381" width="29.33203125" style="19" customWidth="1"/>
    <col min="5382" max="5383" width="20.1640625" style="19" customWidth="1"/>
    <col min="5384" max="5385" width="17.1640625" style="19" customWidth="1"/>
    <col min="5386" max="5386" width="21.5" style="19" customWidth="1"/>
    <col min="5387" max="5387" width="18.33203125" style="19" customWidth="1"/>
    <col min="5388" max="5388" width="28.5" style="19" customWidth="1"/>
    <col min="5389" max="5389" width="21" style="19" customWidth="1"/>
    <col min="5390" max="5390" width="17.5" style="19" customWidth="1"/>
    <col min="5391" max="5391" width="22.6640625" style="19" customWidth="1"/>
    <col min="5392" max="5392" width="17.1640625" style="19" customWidth="1"/>
    <col min="5393" max="5393" width="15.83203125" style="19" customWidth="1"/>
    <col min="5394" max="5394" width="15.5" style="19" customWidth="1"/>
    <col min="5395" max="5395" width="16" style="19" customWidth="1"/>
    <col min="5396" max="5396" width="9.1640625" style="19" customWidth="1"/>
    <col min="5397" max="5397" width="17.33203125" style="19" customWidth="1"/>
    <col min="5398" max="5398" width="16.5" style="19" bestFit="1" customWidth="1"/>
    <col min="5399" max="5399" width="10.83203125" style="19" bestFit="1" customWidth="1"/>
    <col min="5400" max="5636" width="9.1640625" style="19"/>
    <col min="5637" max="5637" width="29.33203125" style="19" customWidth="1"/>
    <col min="5638" max="5639" width="20.1640625" style="19" customWidth="1"/>
    <col min="5640" max="5641" width="17.1640625" style="19" customWidth="1"/>
    <col min="5642" max="5642" width="21.5" style="19" customWidth="1"/>
    <col min="5643" max="5643" width="18.33203125" style="19" customWidth="1"/>
    <col min="5644" max="5644" width="28.5" style="19" customWidth="1"/>
    <col min="5645" max="5645" width="21" style="19" customWidth="1"/>
    <col min="5646" max="5646" width="17.5" style="19" customWidth="1"/>
    <col min="5647" max="5647" width="22.6640625" style="19" customWidth="1"/>
    <col min="5648" max="5648" width="17.1640625" style="19" customWidth="1"/>
    <col min="5649" max="5649" width="15.83203125" style="19" customWidth="1"/>
    <col min="5650" max="5650" width="15.5" style="19" customWidth="1"/>
    <col min="5651" max="5651" width="16" style="19" customWidth="1"/>
    <col min="5652" max="5652" width="9.1640625" style="19" customWidth="1"/>
    <col min="5653" max="5653" width="17.33203125" style="19" customWidth="1"/>
    <col min="5654" max="5654" width="16.5" style="19" bestFit="1" customWidth="1"/>
    <col min="5655" max="5655" width="10.83203125" style="19" bestFit="1" customWidth="1"/>
    <col min="5656" max="5892" width="9.1640625" style="19"/>
    <col min="5893" max="5893" width="29.33203125" style="19" customWidth="1"/>
    <col min="5894" max="5895" width="20.1640625" style="19" customWidth="1"/>
    <col min="5896" max="5897" width="17.1640625" style="19" customWidth="1"/>
    <col min="5898" max="5898" width="21.5" style="19" customWidth="1"/>
    <col min="5899" max="5899" width="18.33203125" style="19" customWidth="1"/>
    <col min="5900" max="5900" width="28.5" style="19" customWidth="1"/>
    <col min="5901" max="5901" width="21" style="19" customWidth="1"/>
    <col min="5902" max="5902" width="17.5" style="19" customWidth="1"/>
    <col min="5903" max="5903" width="22.6640625" style="19" customWidth="1"/>
    <col min="5904" max="5904" width="17.1640625" style="19" customWidth="1"/>
    <col min="5905" max="5905" width="15.83203125" style="19" customWidth="1"/>
    <col min="5906" max="5906" width="15.5" style="19" customWidth="1"/>
    <col min="5907" max="5907" width="16" style="19" customWidth="1"/>
    <col min="5908" max="5908" width="9.1640625" style="19" customWidth="1"/>
    <col min="5909" max="5909" width="17.33203125" style="19" customWidth="1"/>
    <col min="5910" max="5910" width="16.5" style="19" bestFit="1" customWidth="1"/>
    <col min="5911" max="5911" width="10.83203125" style="19" bestFit="1" customWidth="1"/>
    <col min="5912" max="6148" width="9.1640625" style="19"/>
    <col min="6149" max="6149" width="29.33203125" style="19" customWidth="1"/>
    <col min="6150" max="6151" width="20.1640625" style="19" customWidth="1"/>
    <col min="6152" max="6153" width="17.1640625" style="19" customWidth="1"/>
    <col min="6154" max="6154" width="21.5" style="19" customWidth="1"/>
    <col min="6155" max="6155" width="18.33203125" style="19" customWidth="1"/>
    <col min="6156" max="6156" width="28.5" style="19" customWidth="1"/>
    <col min="6157" max="6157" width="21" style="19" customWidth="1"/>
    <col min="6158" max="6158" width="17.5" style="19" customWidth="1"/>
    <col min="6159" max="6159" width="22.6640625" style="19" customWidth="1"/>
    <col min="6160" max="6160" width="17.1640625" style="19" customWidth="1"/>
    <col min="6161" max="6161" width="15.83203125" style="19" customWidth="1"/>
    <col min="6162" max="6162" width="15.5" style="19" customWidth="1"/>
    <col min="6163" max="6163" width="16" style="19" customWidth="1"/>
    <col min="6164" max="6164" width="9.1640625" style="19" customWidth="1"/>
    <col min="6165" max="6165" width="17.33203125" style="19" customWidth="1"/>
    <col min="6166" max="6166" width="16.5" style="19" bestFit="1" customWidth="1"/>
    <col min="6167" max="6167" width="10.83203125" style="19" bestFit="1" customWidth="1"/>
    <col min="6168" max="6404" width="9.1640625" style="19"/>
    <col min="6405" max="6405" width="29.33203125" style="19" customWidth="1"/>
    <col min="6406" max="6407" width="20.1640625" style="19" customWidth="1"/>
    <col min="6408" max="6409" width="17.1640625" style="19" customWidth="1"/>
    <col min="6410" max="6410" width="21.5" style="19" customWidth="1"/>
    <col min="6411" max="6411" width="18.33203125" style="19" customWidth="1"/>
    <col min="6412" max="6412" width="28.5" style="19" customWidth="1"/>
    <col min="6413" max="6413" width="21" style="19" customWidth="1"/>
    <col min="6414" max="6414" width="17.5" style="19" customWidth="1"/>
    <col min="6415" max="6415" width="22.6640625" style="19" customWidth="1"/>
    <col min="6416" max="6416" width="17.1640625" style="19" customWidth="1"/>
    <col min="6417" max="6417" width="15.83203125" style="19" customWidth="1"/>
    <col min="6418" max="6418" width="15.5" style="19" customWidth="1"/>
    <col min="6419" max="6419" width="16" style="19" customWidth="1"/>
    <col min="6420" max="6420" width="9.1640625" style="19" customWidth="1"/>
    <col min="6421" max="6421" width="17.33203125" style="19" customWidth="1"/>
    <col min="6422" max="6422" width="16.5" style="19" bestFit="1" customWidth="1"/>
    <col min="6423" max="6423" width="10.83203125" style="19" bestFit="1" customWidth="1"/>
    <col min="6424" max="6660" width="9.1640625" style="19"/>
    <col min="6661" max="6661" width="29.33203125" style="19" customWidth="1"/>
    <col min="6662" max="6663" width="20.1640625" style="19" customWidth="1"/>
    <col min="6664" max="6665" width="17.1640625" style="19" customWidth="1"/>
    <col min="6666" max="6666" width="21.5" style="19" customWidth="1"/>
    <col min="6667" max="6667" width="18.33203125" style="19" customWidth="1"/>
    <col min="6668" max="6668" width="28.5" style="19" customWidth="1"/>
    <col min="6669" max="6669" width="21" style="19" customWidth="1"/>
    <col min="6670" max="6670" width="17.5" style="19" customWidth="1"/>
    <col min="6671" max="6671" width="22.6640625" style="19" customWidth="1"/>
    <col min="6672" max="6672" width="17.1640625" style="19" customWidth="1"/>
    <col min="6673" max="6673" width="15.83203125" style="19" customWidth="1"/>
    <col min="6674" max="6674" width="15.5" style="19" customWidth="1"/>
    <col min="6675" max="6675" width="16" style="19" customWidth="1"/>
    <col min="6676" max="6676" width="9.1640625" style="19" customWidth="1"/>
    <col min="6677" max="6677" width="17.33203125" style="19" customWidth="1"/>
    <col min="6678" max="6678" width="16.5" style="19" bestFit="1" customWidth="1"/>
    <col min="6679" max="6679" width="10.83203125" style="19" bestFit="1" customWidth="1"/>
    <col min="6680" max="6916" width="9.1640625" style="19"/>
    <col min="6917" max="6917" width="29.33203125" style="19" customWidth="1"/>
    <col min="6918" max="6919" width="20.1640625" style="19" customWidth="1"/>
    <col min="6920" max="6921" width="17.1640625" style="19" customWidth="1"/>
    <col min="6922" max="6922" width="21.5" style="19" customWidth="1"/>
    <col min="6923" max="6923" width="18.33203125" style="19" customWidth="1"/>
    <col min="6924" max="6924" width="28.5" style="19" customWidth="1"/>
    <col min="6925" max="6925" width="21" style="19" customWidth="1"/>
    <col min="6926" max="6926" width="17.5" style="19" customWidth="1"/>
    <col min="6927" max="6927" width="22.6640625" style="19" customWidth="1"/>
    <col min="6928" max="6928" width="17.1640625" style="19" customWidth="1"/>
    <col min="6929" max="6929" width="15.83203125" style="19" customWidth="1"/>
    <col min="6930" max="6930" width="15.5" style="19" customWidth="1"/>
    <col min="6931" max="6931" width="16" style="19" customWidth="1"/>
    <col min="6932" max="6932" width="9.1640625" style="19" customWidth="1"/>
    <col min="6933" max="6933" width="17.33203125" style="19" customWidth="1"/>
    <col min="6934" max="6934" width="16.5" style="19" bestFit="1" customWidth="1"/>
    <col min="6935" max="6935" width="10.83203125" style="19" bestFit="1" customWidth="1"/>
    <col min="6936" max="7172" width="9.1640625" style="19"/>
    <col min="7173" max="7173" width="29.33203125" style="19" customWidth="1"/>
    <col min="7174" max="7175" width="20.1640625" style="19" customWidth="1"/>
    <col min="7176" max="7177" width="17.1640625" style="19" customWidth="1"/>
    <col min="7178" max="7178" width="21.5" style="19" customWidth="1"/>
    <col min="7179" max="7179" width="18.33203125" style="19" customWidth="1"/>
    <col min="7180" max="7180" width="28.5" style="19" customWidth="1"/>
    <col min="7181" max="7181" width="21" style="19" customWidth="1"/>
    <col min="7182" max="7182" width="17.5" style="19" customWidth="1"/>
    <col min="7183" max="7183" width="22.6640625" style="19" customWidth="1"/>
    <col min="7184" max="7184" width="17.1640625" style="19" customWidth="1"/>
    <col min="7185" max="7185" width="15.83203125" style="19" customWidth="1"/>
    <col min="7186" max="7186" width="15.5" style="19" customWidth="1"/>
    <col min="7187" max="7187" width="16" style="19" customWidth="1"/>
    <col min="7188" max="7188" width="9.1640625" style="19" customWidth="1"/>
    <col min="7189" max="7189" width="17.33203125" style="19" customWidth="1"/>
    <col min="7190" max="7190" width="16.5" style="19" bestFit="1" customWidth="1"/>
    <col min="7191" max="7191" width="10.83203125" style="19" bestFit="1" customWidth="1"/>
    <col min="7192" max="7428" width="9.1640625" style="19"/>
    <col min="7429" max="7429" width="29.33203125" style="19" customWidth="1"/>
    <col min="7430" max="7431" width="20.1640625" style="19" customWidth="1"/>
    <col min="7432" max="7433" width="17.1640625" style="19" customWidth="1"/>
    <col min="7434" max="7434" width="21.5" style="19" customWidth="1"/>
    <col min="7435" max="7435" width="18.33203125" style="19" customWidth="1"/>
    <col min="7436" max="7436" width="28.5" style="19" customWidth="1"/>
    <col min="7437" max="7437" width="21" style="19" customWidth="1"/>
    <col min="7438" max="7438" width="17.5" style="19" customWidth="1"/>
    <col min="7439" max="7439" width="22.6640625" style="19" customWidth="1"/>
    <col min="7440" max="7440" width="17.1640625" style="19" customWidth="1"/>
    <col min="7441" max="7441" width="15.83203125" style="19" customWidth="1"/>
    <col min="7442" max="7442" width="15.5" style="19" customWidth="1"/>
    <col min="7443" max="7443" width="16" style="19" customWidth="1"/>
    <col min="7444" max="7444" width="9.1640625" style="19" customWidth="1"/>
    <col min="7445" max="7445" width="17.33203125" style="19" customWidth="1"/>
    <col min="7446" max="7446" width="16.5" style="19" bestFit="1" customWidth="1"/>
    <col min="7447" max="7447" width="10.83203125" style="19" bestFit="1" customWidth="1"/>
    <col min="7448" max="7684" width="9.1640625" style="19"/>
    <col min="7685" max="7685" width="29.33203125" style="19" customWidth="1"/>
    <col min="7686" max="7687" width="20.1640625" style="19" customWidth="1"/>
    <col min="7688" max="7689" width="17.1640625" style="19" customWidth="1"/>
    <col min="7690" max="7690" width="21.5" style="19" customWidth="1"/>
    <col min="7691" max="7691" width="18.33203125" style="19" customWidth="1"/>
    <col min="7692" max="7692" width="28.5" style="19" customWidth="1"/>
    <col min="7693" max="7693" width="21" style="19" customWidth="1"/>
    <col min="7694" max="7694" width="17.5" style="19" customWidth="1"/>
    <col min="7695" max="7695" width="22.6640625" style="19" customWidth="1"/>
    <col min="7696" max="7696" width="17.1640625" style="19" customWidth="1"/>
    <col min="7697" max="7697" width="15.83203125" style="19" customWidth="1"/>
    <col min="7698" max="7698" width="15.5" style="19" customWidth="1"/>
    <col min="7699" max="7699" width="16" style="19" customWidth="1"/>
    <col min="7700" max="7700" width="9.1640625" style="19" customWidth="1"/>
    <col min="7701" max="7701" width="17.33203125" style="19" customWidth="1"/>
    <col min="7702" max="7702" width="16.5" style="19" bestFit="1" customWidth="1"/>
    <col min="7703" max="7703" width="10.83203125" style="19" bestFit="1" customWidth="1"/>
    <col min="7704" max="7940" width="9.1640625" style="19"/>
    <col min="7941" max="7941" width="29.33203125" style="19" customWidth="1"/>
    <col min="7942" max="7943" width="20.1640625" style="19" customWidth="1"/>
    <col min="7944" max="7945" width="17.1640625" style="19" customWidth="1"/>
    <col min="7946" max="7946" width="21.5" style="19" customWidth="1"/>
    <col min="7947" max="7947" width="18.33203125" style="19" customWidth="1"/>
    <col min="7948" max="7948" width="28.5" style="19" customWidth="1"/>
    <col min="7949" max="7949" width="21" style="19" customWidth="1"/>
    <col min="7950" max="7950" width="17.5" style="19" customWidth="1"/>
    <col min="7951" max="7951" width="22.6640625" style="19" customWidth="1"/>
    <col min="7952" max="7952" width="17.1640625" style="19" customWidth="1"/>
    <col min="7953" max="7953" width="15.83203125" style="19" customWidth="1"/>
    <col min="7954" max="7954" width="15.5" style="19" customWidth="1"/>
    <col min="7955" max="7955" width="16" style="19" customWidth="1"/>
    <col min="7956" max="7956" width="9.1640625" style="19" customWidth="1"/>
    <col min="7957" max="7957" width="17.33203125" style="19" customWidth="1"/>
    <col min="7958" max="7958" width="16.5" style="19" bestFit="1" customWidth="1"/>
    <col min="7959" max="7959" width="10.83203125" style="19" bestFit="1" customWidth="1"/>
    <col min="7960" max="8196" width="9.1640625" style="19"/>
    <col min="8197" max="8197" width="29.33203125" style="19" customWidth="1"/>
    <col min="8198" max="8199" width="20.1640625" style="19" customWidth="1"/>
    <col min="8200" max="8201" width="17.1640625" style="19" customWidth="1"/>
    <col min="8202" max="8202" width="21.5" style="19" customWidth="1"/>
    <col min="8203" max="8203" width="18.33203125" style="19" customWidth="1"/>
    <col min="8204" max="8204" width="28.5" style="19" customWidth="1"/>
    <col min="8205" max="8205" width="21" style="19" customWidth="1"/>
    <col min="8206" max="8206" width="17.5" style="19" customWidth="1"/>
    <col min="8207" max="8207" width="22.6640625" style="19" customWidth="1"/>
    <col min="8208" max="8208" width="17.1640625" style="19" customWidth="1"/>
    <col min="8209" max="8209" width="15.83203125" style="19" customWidth="1"/>
    <col min="8210" max="8210" width="15.5" style="19" customWidth="1"/>
    <col min="8211" max="8211" width="16" style="19" customWidth="1"/>
    <col min="8212" max="8212" width="9.1640625" style="19" customWidth="1"/>
    <col min="8213" max="8213" width="17.33203125" style="19" customWidth="1"/>
    <col min="8214" max="8214" width="16.5" style="19" bestFit="1" customWidth="1"/>
    <col min="8215" max="8215" width="10.83203125" style="19" bestFit="1" customWidth="1"/>
    <col min="8216" max="8452" width="9.1640625" style="19"/>
    <col min="8453" max="8453" width="29.33203125" style="19" customWidth="1"/>
    <col min="8454" max="8455" width="20.1640625" style="19" customWidth="1"/>
    <col min="8456" max="8457" width="17.1640625" style="19" customWidth="1"/>
    <col min="8458" max="8458" width="21.5" style="19" customWidth="1"/>
    <col min="8459" max="8459" width="18.33203125" style="19" customWidth="1"/>
    <col min="8460" max="8460" width="28.5" style="19" customWidth="1"/>
    <col min="8461" max="8461" width="21" style="19" customWidth="1"/>
    <col min="8462" max="8462" width="17.5" style="19" customWidth="1"/>
    <col min="8463" max="8463" width="22.6640625" style="19" customWidth="1"/>
    <col min="8464" max="8464" width="17.1640625" style="19" customWidth="1"/>
    <col min="8465" max="8465" width="15.83203125" style="19" customWidth="1"/>
    <col min="8466" max="8466" width="15.5" style="19" customWidth="1"/>
    <col min="8467" max="8467" width="16" style="19" customWidth="1"/>
    <col min="8468" max="8468" width="9.1640625" style="19" customWidth="1"/>
    <col min="8469" max="8469" width="17.33203125" style="19" customWidth="1"/>
    <col min="8470" max="8470" width="16.5" style="19" bestFit="1" customWidth="1"/>
    <col min="8471" max="8471" width="10.83203125" style="19" bestFit="1" customWidth="1"/>
    <col min="8472" max="8708" width="9.1640625" style="19"/>
    <col min="8709" max="8709" width="29.33203125" style="19" customWidth="1"/>
    <col min="8710" max="8711" width="20.1640625" style="19" customWidth="1"/>
    <col min="8712" max="8713" width="17.1640625" style="19" customWidth="1"/>
    <col min="8714" max="8714" width="21.5" style="19" customWidth="1"/>
    <col min="8715" max="8715" width="18.33203125" style="19" customWidth="1"/>
    <col min="8716" max="8716" width="28.5" style="19" customWidth="1"/>
    <col min="8717" max="8717" width="21" style="19" customWidth="1"/>
    <col min="8718" max="8718" width="17.5" style="19" customWidth="1"/>
    <col min="8719" max="8719" width="22.6640625" style="19" customWidth="1"/>
    <col min="8720" max="8720" width="17.1640625" style="19" customWidth="1"/>
    <col min="8721" max="8721" width="15.83203125" style="19" customWidth="1"/>
    <col min="8722" max="8722" width="15.5" style="19" customWidth="1"/>
    <col min="8723" max="8723" width="16" style="19" customWidth="1"/>
    <col min="8724" max="8724" width="9.1640625" style="19" customWidth="1"/>
    <col min="8725" max="8725" width="17.33203125" style="19" customWidth="1"/>
    <col min="8726" max="8726" width="16.5" style="19" bestFit="1" customWidth="1"/>
    <col min="8727" max="8727" width="10.83203125" style="19" bestFit="1" customWidth="1"/>
    <col min="8728" max="8964" width="9.1640625" style="19"/>
    <col min="8965" max="8965" width="29.33203125" style="19" customWidth="1"/>
    <col min="8966" max="8967" width="20.1640625" style="19" customWidth="1"/>
    <col min="8968" max="8969" width="17.1640625" style="19" customWidth="1"/>
    <col min="8970" max="8970" width="21.5" style="19" customWidth="1"/>
    <col min="8971" max="8971" width="18.33203125" style="19" customWidth="1"/>
    <col min="8972" max="8972" width="28.5" style="19" customWidth="1"/>
    <col min="8973" max="8973" width="21" style="19" customWidth="1"/>
    <col min="8974" max="8974" width="17.5" style="19" customWidth="1"/>
    <col min="8975" max="8975" width="22.6640625" style="19" customWidth="1"/>
    <col min="8976" max="8976" width="17.1640625" style="19" customWidth="1"/>
    <col min="8977" max="8977" width="15.83203125" style="19" customWidth="1"/>
    <col min="8978" max="8978" width="15.5" style="19" customWidth="1"/>
    <col min="8979" max="8979" width="16" style="19" customWidth="1"/>
    <col min="8980" max="8980" width="9.1640625" style="19" customWidth="1"/>
    <col min="8981" max="8981" width="17.33203125" style="19" customWidth="1"/>
    <col min="8982" max="8982" width="16.5" style="19" bestFit="1" customWidth="1"/>
    <col min="8983" max="8983" width="10.83203125" style="19" bestFit="1" customWidth="1"/>
    <col min="8984" max="9220" width="9.1640625" style="19"/>
    <col min="9221" max="9221" width="29.33203125" style="19" customWidth="1"/>
    <col min="9222" max="9223" width="20.1640625" style="19" customWidth="1"/>
    <col min="9224" max="9225" width="17.1640625" style="19" customWidth="1"/>
    <col min="9226" max="9226" width="21.5" style="19" customWidth="1"/>
    <col min="9227" max="9227" width="18.33203125" style="19" customWidth="1"/>
    <col min="9228" max="9228" width="28.5" style="19" customWidth="1"/>
    <col min="9229" max="9229" width="21" style="19" customWidth="1"/>
    <col min="9230" max="9230" width="17.5" style="19" customWidth="1"/>
    <col min="9231" max="9231" width="22.6640625" style="19" customWidth="1"/>
    <col min="9232" max="9232" width="17.1640625" style="19" customWidth="1"/>
    <col min="9233" max="9233" width="15.83203125" style="19" customWidth="1"/>
    <col min="9234" max="9234" width="15.5" style="19" customWidth="1"/>
    <col min="9235" max="9235" width="16" style="19" customWidth="1"/>
    <col min="9236" max="9236" width="9.1640625" style="19" customWidth="1"/>
    <col min="9237" max="9237" width="17.33203125" style="19" customWidth="1"/>
    <col min="9238" max="9238" width="16.5" style="19" bestFit="1" customWidth="1"/>
    <col min="9239" max="9239" width="10.83203125" style="19" bestFit="1" customWidth="1"/>
    <col min="9240" max="9476" width="9.1640625" style="19"/>
    <col min="9477" max="9477" width="29.33203125" style="19" customWidth="1"/>
    <col min="9478" max="9479" width="20.1640625" style="19" customWidth="1"/>
    <col min="9480" max="9481" width="17.1640625" style="19" customWidth="1"/>
    <col min="9482" max="9482" width="21.5" style="19" customWidth="1"/>
    <col min="9483" max="9483" width="18.33203125" style="19" customWidth="1"/>
    <col min="9484" max="9484" width="28.5" style="19" customWidth="1"/>
    <col min="9485" max="9485" width="21" style="19" customWidth="1"/>
    <col min="9486" max="9486" width="17.5" style="19" customWidth="1"/>
    <col min="9487" max="9487" width="22.6640625" style="19" customWidth="1"/>
    <col min="9488" max="9488" width="17.1640625" style="19" customWidth="1"/>
    <col min="9489" max="9489" width="15.83203125" style="19" customWidth="1"/>
    <col min="9490" max="9490" width="15.5" style="19" customWidth="1"/>
    <col min="9491" max="9491" width="16" style="19" customWidth="1"/>
    <col min="9492" max="9492" width="9.1640625" style="19" customWidth="1"/>
    <col min="9493" max="9493" width="17.33203125" style="19" customWidth="1"/>
    <col min="9494" max="9494" width="16.5" style="19" bestFit="1" customWidth="1"/>
    <col min="9495" max="9495" width="10.83203125" style="19" bestFit="1" customWidth="1"/>
    <col min="9496" max="9732" width="9.1640625" style="19"/>
    <col min="9733" max="9733" width="29.33203125" style="19" customWidth="1"/>
    <col min="9734" max="9735" width="20.1640625" style="19" customWidth="1"/>
    <col min="9736" max="9737" width="17.1640625" style="19" customWidth="1"/>
    <col min="9738" max="9738" width="21.5" style="19" customWidth="1"/>
    <col min="9739" max="9739" width="18.33203125" style="19" customWidth="1"/>
    <col min="9740" max="9740" width="28.5" style="19" customWidth="1"/>
    <col min="9741" max="9741" width="21" style="19" customWidth="1"/>
    <col min="9742" max="9742" width="17.5" style="19" customWidth="1"/>
    <col min="9743" max="9743" width="22.6640625" style="19" customWidth="1"/>
    <col min="9744" max="9744" width="17.1640625" style="19" customWidth="1"/>
    <col min="9745" max="9745" width="15.83203125" style="19" customWidth="1"/>
    <col min="9746" max="9746" width="15.5" style="19" customWidth="1"/>
    <col min="9747" max="9747" width="16" style="19" customWidth="1"/>
    <col min="9748" max="9748" width="9.1640625" style="19" customWidth="1"/>
    <col min="9749" max="9749" width="17.33203125" style="19" customWidth="1"/>
    <col min="9750" max="9750" width="16.5" style="19" bestFit="1" customWidth="1"/>
    <col min="9751" max="9751" width="10.83203125" style="19" bestFit="1" customWidth="1"/>
    <col min="9752" max="9988" width="9.1640625" style="19"/>
    <col min="9989" max="9989" width="29.33203125" style="19" customWidth="1"/>
    <col min="9990" max="9991" width="20.1640625" style="19" customWidth="1"/>
    <col min="9992" max="9993" width="17.1640625" style="19" customWidth="1"/>
    <col min="9994" max="9994" width="21.5" style="19" customWidth="1"/>
    <col min="9995" max="9995" width="18.33203125" style="19" customWidth="1"/>
    <col min="9996" max="9996" width="28.5" style="19" customWidth="1"/>
    <col min="9997" max="9997" width="21" style="19" customWidth="1"/>
    <col min="9998" max="9998" width="17.5" style="19" customWidth="1"/>
    <col min="9999" max="9999" width="22.6640625" style="19" customWidth="1"/>
    <col min="10000" max="10000" width="17.1640625" style="19" customWidth="1"/>
    <col min="10001" max="10001" width="15.83203125" style="19" customWidth="1"/>
    <col min="10002" max="10002" width="15.5" style="19" customWidth="1"/>
    <col min="10003" max="10003" width="16" style="19" customWidth="1"/>
    <col min="10004" max="10004" width="9.1640625" style="19" customWidth="1"/>
    <col min="10005" max="10005" width="17.33203125" style="19" customWidth="1"/>
    <col min="10006" max="10006" width="16.5" style="19" bestFit="1" customWidth="1"/>
    <col min="10007" max="10007" width="10.83203125" style="19" bestFit="1" customWidth="1"/>
    <col min="10008" max="10244" width="9.1640625" style="19"/>
    <col min="10245" max="10245" width="29.33203125" style="19" customWidth="1"/>
    <col min="10246" max="10247" width="20.1640625" style="19" customWidth="1"/>
    <col min="10248" max="10249" width="17.1640625" style="19" customWidth="1"/>
    <col min="10250" max="10250" width="21.5" style="19" customWidth="1"/>
    <col min="10251" max="10251" width="18.33203125" style="19" customWidth="1"/>
    <col min="10252" max="10252" width="28.5" style="19" customWidth="1"/>
    <col min="10253" max="10253" width="21" style="19" customWidth="1"/>
    <col min="10254" max="10254" width="17.5" style="19" customWidth="1"/>
    <col min="10255" max="10255" width="22.6640625" style="19" customWidth="1"/>
    <col min="10256" max="10256" width="17.1640625" style="19" customWidth="1"/>
    <col min="10257" max="10257" width="15.83203125" style="19" customWidth="1"/>
    <col min="10258" max="10258" width="15.5" style="19" customWidth="1"/>
    <col min="10259" max="10259" width="16" style="19" customWidth="1"/>
    <col min="10260" max="10260" width="9.1640625" style="19" customWidth="1"/>
    <col min="10261" max="10261" width="17.33203125" style="19" customWidth="1"/>
    <col min="10262" max="10262" width="16.5" style="19" bestFit="1" customWidth="1"/>
    <col min="10263" max="10263" width="10.83203125" style="19" bestFit="1" customWidth="1"/>
    <col min="10264" max="10500" width="9.1640625" style="19"/>
    <col min="10501" max="10501" width="29.33203125" style="19" customWidth="1"/>
    <col min="10502" max="10503" width="20.1640625" style="19" customWidth="1"/>
    <col min="10504" max="10505" width="17.1640625" style="19" customWidth="1"/>
    <col min="10506" max="10506" width="21.5" style="19" customWidth="1"/>
    <col min="10507" max="10507" width="18.33203125" style="19" customWidth="1"/>
    <col min="10508" max="10508" width="28.5" style="19" customWidth="1"/>
    <col min="10509" max="10509" width="21" style="19" customWidth="1"/>
    <col min="10510" max="10510" width="17.5" style="19" customWidth="1"/>
    <col min="10511" max="10511" width="22.6640625" style="19" customWidth="1"/>
    <col min="10512" max="10512" width="17.1640625" style="19" customWidth="1"/>
    <col min="10513" max="10513" width="15.83203125" style="19" customWidth="1"/>
    <col min="10514" max="10514" width="15.5" style="19" customWidth="1"/>
    <col min="10515" max="10515" width="16" style="19" customWidth="1"/>
    <col min="10516" max="10516" width="9.1640625" style="19" customWidth="1"/>
    <col min="10517" max="10517" width="17.33203125" style="19" customWidth="1"/>
    <col min="10518" max="10518" width="16.5" style="19" bestFit="1" customWidth="1"/>
    <col min="10519" max="10519" width="10.83203125" style="19" bestFit="1" customWidth="1"/>
    <col min="10520" max="10756" width="9.1640625" style="19"/>
    <col min="10757" max="10757" width="29.33203125" style="19" customWidth="1"/>
    <col min="10758" max="10759" width="20.1640625" style="19" customWidth="1"/>
    <col min="10760" max="10761" width="17.1640625" style="19" customWidth="1"/>
    <col min="10762" max="10762" width="21.5" style="19" customWidth="1"/>
    <col min="10763" max="10763" width="18.33203125" style="19" customWidth="1"/>
    <col min="10764" max="10764" width="28.5" style="19" customWidth="1"/>
    <col min="10765" max="10765" width="21" style="19" customWidth="1"/>
    <col min="10766" max="10766" width="17.5" style="19" customWidth="1"/>
    <col min="10767" max="10767" width="22.6640625" style="19" customWidth="1"/>
    <col min="10768" max="10768" width="17.1640625" style="19" customWidth="1"/>
    <col min="10769" max="10769" width="15.83203125" style="19" customWidth="1"/>
    <col min="10770" max="10770" width="15.5" style="19" customWidth="1"/>
    <col min="10771" max="10771" width="16" style="19" customWidth="1"/>
    <col min="10772" max="10772" width="9.1640625" style="19" customWidth="1"/>
    <col min="10773" max="10773" width="17.33203125" style="19" customWidth="1"/>
    <col min="10774" max="10774" width="16.5" style="19" bestFit="1" customWidth="1"/>
    <col min="10775" max="10775" width="10.83203125" style="19" bestFit="1" customWidth="1"/>
    <col min="10776" max="11012" width="9.1640625" style="19"/>
    <col min="11013" max="11013" width="29.33203125" style="19" customWidth="1"/>
    <col min="11014" max="11015" width="20.1640625" style="19" customWidth="1"/>
    <col min="11016" max="11017" width="17.1640625" style="19" customWidth="1"/>
    <col min="11018" max="11018" width="21.5" style="19" customWidth="1"/>
    <col min="11019" max="11019" width="18.33203125" style="19" customWidth="1"/>
    <col min="11020" max="11020" width="28.5" style="19" customWidth="1"/>
    <col min="11021" max="11021" width="21" style="19" customWidth="1"/>
    <col min="11022" max="11022" width="17.5" style="19" customWidth="1"/>
    <col min="11023" max="11023" width="22.6640625" style="19" customWidth="1"/>
    <col min="11024" max="11024" width="17.1640625" style="19" customWidth="1"/>
    <col min="11025" max="11025" width="15.83203125" style="19" customWidth="1"/>
    <col min="11026" max="11026" width="15.5" style="19" customWidth="1"/>
    <col min="11027" max="11027" width="16" style="19" customWidth="1"/>
    <col min="11028" max="11028" width="9.1640625" style="19" customWidth="1"/>
    <col min="11029" max="11029" width="17.33203125" style="19" customWidth="1"/>
    <col min="11030" max="11030" width="16.5" style="19" bestFit="1" customWidth="1"/>
    <col min="11031" max="11031" width="10.83203125" style="19" bestFit="1" customWidth="1"/>
    <col min="11032" max="11268" width="9.1640625" style="19"/>
    <col min="11269" max="11269" width="29.33203125" style="19" customWidth="1"/>
    <col min="11270" max="11271" width="20.1640625" style="19" customWidth="1"/>
    <col min="11272" max="11273" width="17.1640625" style="19" customWidth="1"/>
    <col min="11274" max="11274" width="21.5" style="19" customWidth="1"/>
    <col min="11275" max="11275" width="18.33203125" style="19" customWidth="1"/>
    <col min="11276" max="11276" width="28.5" style="19" customWidth="1"/>
    <col min="11277" max="11277" width="21" style="19" customWidth="1"/>
    <col min="11278" max="11278" width="17.5" style="19" customWidth="1"/>
    <col min="11279" max="11279" width="22.6640625" style="19" customWidth="1"/>
    <col min="11280" max="11280" width="17.1640625" style="19" customWidth="1"/>
    <col min="11281" max="11281" width="15.83203125" style="19" customWidth="1"/>
    <col min="11282" max="11282" width="15.5" style="19" customWidth="1"/>
    <col min="11283" max="11283" width="16" style="19" customWidth="1"/>
    <col min="11284" max="11284" width="9.1640625" style="19" customWidth="1"/>
    <col min="11285" max="11285" width="17.33203125" style="19" customWidth="1"/>
    <col min="11286" max="11286" width="16.5" style="19" bestFit="1" customWidth="1"/>
    <col min="11287" max="11287" width="10.83203125" style="19" bestFit="1" customWidth="1"/>
    <col min="11288" max="11524" width="9.1640625" style="19"/>
    <col min="11525" max="11525" width="29.33203125" style="19" customWidth="1"/>
    <col min="11526" max="11527" width="20.1640625" style="19" customWidth="1"/>
    <col min="11528" max="11529" width="17.1640625" style="19" customWidth="1"/>
    <col min="11530" max="11530" width="21.5" style="19" customWidth="1"/>
    <col min="11531" max="11531" width="18.33203125" style="19" customWidth="1"/>
    <col min="11532" max="11532" width="28.5" style="19" customWidth="1"/>
    <col min="11533" max="11533" width="21" style="19" customWidth="1"/>
    <col min="11534" max="11534" width="17.5" style="19" customWidth="1"/>
    <col min="11535" max="11535" width="22.6640625" style="19" customWidth="1"/>
    <col min="11536" max="11536" width="17.1640625" style="19" customWidth="1"/>
    <col min="11537" max="11537" width="15.83203125" style="19" customWidth="1"/>
    <col min="11538" max="11538" width="15.5" style="19" customWidth="1"/>
    <col min="11539" max="11539" width="16" style="19" customWidth="1"/>
    <col min="11540" max="11540" width="9.1640625" style="19" customWidth="1"/>
    <col min="11541" max="11541" width="17.33203125" style="19" customWidth="1"/>
    <col min="11542" max="11542" width="16.5" style="19" bestFit="1" customWidth="1"/>
    <col min="11543" max="11543" width="10.83203125" style="19" bestFit="1" customWidth="1"/>
    <col min="11544" max="11780" width="9.1640625" style="19"/>
    <col min="11781" max="11781" width="29.33203125" style="19" customWidth="1"/>
    <col min="11782" max="11783" width="20.1640625" style="19" customWidth="1"/>
    <col min="11784" max="11785" width="17.1640625" style="19" customWidth="1"/>
    <col min="11786" max="11786" width="21.5" style="19" customWidth="1"/>
    <col min="11787" max="11787" width="18.33203125" style="19" customWidth="1"/>
    <col min="11788" max="11788" width="28.5" style="19" customWidth="1"/>
    <col min="11789" max="11789" width="21" style="19" customWidth="1"/>
    <col min="11790" max="11790" width="17.5" style="19" customWidth="1"/>
    <col min="11791" max="11791" width="22.6640625" style="19" customWidth="1"/>
    <col min="11792" max="11792" width="17.1640625" style="19" customWidth="1"/>
    <col min="11793" max="11793" width="15.83203125" style="19" customWidth="1"/>
    <col min="11794" max="11794" width="15.5" style="19" customWidth="1"/>
    <col min="11795" max="11795" width="16" style="19" customWidth="1"/>
    <col min="11796" max="11796" width="9.1640625" style="19" customWidth="1"/>
    <col min="11797" max="11797" width="17.33203125" style="19" customWidth="1"/>
    <col min="11798" max="11798" width="16.5" style="19" bestFit="1" customWidth="1"/>
    <col min="11799" max="11799" width="10.83203125" style="19" bestFit="1" customWidth="1"/>
    <col min="11800" max="12036" width="9.1640625" style="19"/>
    <col min="12037" max="12037" width="29.33203125" style="19" customWidth="1"/>
    <col min="12038" max="12039" width="20.1640625" style="19" customWidth="1"/>
    <col min="12040" max="12041" width="17.1640625" style="19" customWidth="1"/>
    <col min="12042" max="12042" width="21.5" style="19" customWidth="1"/>
    <col min="12043" max="12043" width="18.33203125" style="19" customWidth="1"/>
    <col min="12044" max="12044" width="28.5" style="19" customWidth="1"/>
    <col min="12045" max="12045" width="21" style="19" customWidth="1"/>
    <col min="12046" max="12046" width="17.5" style="19" customWidth="1"/>
    <col min="12047" max="12047" width="22.6640625" style="19" customWidth="1"/>
    <col min="12048" max="12048" width="17.1640625" style="19" customWidth="1"/>
    <col min="12049" max="12049" width="15.83203125" style="19" customWidth="1"/>
    <col min="12050" max="12050" width="15.5" style="19" customWidth="1"/>
    <col min="12051" max="12051" width="16" style="19" customWidth="1"/>
    <col min="12052" max="12052" width="9.1640625" style="19" customWidth="1"/>
    <col min="12053" max="12053" width="17.33203125" style="19" customWidth="1"/>
    <col min="12054" max="12054" width="16.5" style="19" bestFit="1" customWidth="1"/>
    <col min="12055" max="12055" width="10.83203125" style="19" bestFit="1" customWidth="1"/>
    <col min="12056" max="12292" width="9.1640625" style="19"/>
    <col min="12293" max="12293" width="29.33203125" style="19" customWidth="1"/>
    <col min="12294" max="12295" width="20.1640625" style="19" customWidth="1"/>
    <col min="12296" max="12297" width="17.1640625" style="19" customWidth="1"/>
    <col min="12298" max="12298" width="21.5" style="19" customWidth="1"/>
    <col min="12299" max="12299" width="18.33203125" style="19" customWidth="1"/>
    <col min="12300" max="12300" width="28.5" style="19" customWidth="1"/>
    <col min="12301" max="12301" width="21" style="19" customWidth="1"/>
    <col min="12302" max="12302" width="17.5" style="19" customWidth="1"/>
    <col min="12303" max="12303" width="22.6640625" style="19" customWidth="1"/>
    <col min="12304" max="12304" width="17.1640625" style="19" customWidth="1"/>
    <col min="12305" max="12305" width="15.83203125" style="19" customWidth="1"/>
    <col min="12306" max="12306" width="15.5" style="19" customWidth="1"/>
    <col min="12307" max="12307" width="16" style="19" customWidth="1"/>
    <col min="12308" max="12308" width="9.1640625" style="19" customWidth="1"/>
    <col min="12309" max="12309" width="17.33203125" style="19" customWidth="1"/>
    <col min="12310" max="12310" width="16.5" style="19" bestFit="1" customWidth="1"/>
    <col min="12311" max="12311" width="10.83203125" style="19" bestFit="1" customWidth="1"/>
    <col min="12312" max="12548" width="9.1640625" style="19"/>
    <col min="12549" max="12549" width="29.33203125" style="19" customWidth="1"/>
    <col min="12550" max="12551" width="20.1640625" style="19" customWidth="1"/>
    <col min="12552" max="12553" width="17.1640625" style="19" customWidth="1"/>
    <col min="12554" max="12554" width="21.5" style="19" customWidth="1"/>
    <col min="12555" max="12555" width="18.33203125" style="19" customWidth="1"/>
    <col min="12556" max="12556" width="28.5" style="19" customWidth="1"/>
    <col min="12557" max="12557" width="21" style="19" customWidth="1"/>
    <col min="12558" max="12558" width="17.5" style="19" customWidth="1"/>
    <col min="12559" max="12559" width="22.6640625" style="19" customWidth="1"/>
    <col min="12560" max="12560" width="17.1640625" style="19" customWidth="1"/>
    <col min="12561" max="12561" width="15.83203125" style="19" customWidth="1"/>
    <col min="12562" max="12562" width="15.5" style="19" customWidth="1"/>
    <col min="12563" max="12563" width="16" style="19" customWidth="1"/>
    <col min="12564" max="12564" width="9.1640625" style="19" customWidth="1"/>
    <col min="12565" max="12565" width="17.33203125" style="19" customWidth="1"/>
    <col min="12566" max="12566" width="16.5" style="19" bestFit="1" customWidth="1"/>
    <col min="12567" max="12567" width="10.83203125" style="19" bestFit="1" customWidth="1"/>
    <col min="12568" max="12804" width="9.1640625" style="19"/>
    <col min="12805" max="12805" width="29.33203125" style="19" customWidth="1"/>
    <col min="12806" max="12807" width="20.1640625" style="19" customWidth="1"/>
    <col min="12808" max="12809" width="17.1640625" style="19" customWidth="1"/>
    <col min="12810" max="12810" width="21.5" style="19" customWidth="1"/>
    <col min="12811" max="12811" width="18.33203125" style="19" customWidth="1"/>
    <col min="12812" max="12812" width="28.5" style="19" customWidth="1"/>
    <col min="12813" max="12813" width="21" style="19" customWidth="1"/>
    <col min="12814" max="12814" width="17.5" style="19" customWidth="1"/>
    <col min="12815" max="12815" width="22.6640625" style="19" customWidth="1"/>
    <col min="12816" max="12816" width="17.1640625" style="19" customWidth="1"/>
    <col min="12817" max="12817" width="15.83203125" style="19" customWidth="1"/>
    <col min="12818" max="12818" width="15.5" style="19" customWidth="1"/>
    <col min="12819" max="12819" width="16" style="19" customWidth="1"/>
    <col min="12820" max="12820" width="9.1640625" style="19" customWidth="1"/>
    <col min="12821" max="12821" width="17.33203125" style="19" customWidth="1"/>
    <col min="12822" max="12822" width="16.5" style="19" bestFit="1" customWidth="1"/>
    <col min="12823" max="12823" width="10.83203125" style="19" bestFit="1" customWidth="1"/>
    <col min="12824" max="13060" width="9.1640625" style="19"/>
    <col min="13061" max="13061" width="29.33203125" style="19" customWidth="1"/>
    <col min="13062" max="13063" width="20.1640625" style="19" customWidth="1"/>
    <col min="13064" max="13065" width="17.1640625" style="19" customWidth="1"/>
    <col min="13066" max="13066" width="21.5" style="19" customWidth="1"/>
    <col min="13067" max="13067" width="18.33203125" style="19" customWidth="1"/>
    <col min="13068" max="13068" width="28.5" style="19" customWidth="1"/>
    <col min="13069" max="13069" width="21" style="19" customWidth="1"/>
    <col min="13070" max="13070" width="17.5" style="19" customWidth="1"/>
    <col min="13071" max="13071" width="22.6640625" style="19" customWidth="1"/>
    <col min="13072" max="13072" width="17.1640625" style="19" customWidth="1"/>
    <col min="13073" max="13073" width="15.83203125" style="19" customWidth="1"/>
    <col min="13074" max="13074" width="15.5" style="19" customWidth="1"/>
    <col min="13075" max="13075" width="16" style="19" customWidth="1"/>
    <col min="13076" max="13076" width="9.1640625" style="19" customWidth="1"/>
    <col min="13077" max="13077" width="17.33203125" style="19" customWidth="1"/>
    <col min="13078" max="13078" width="16.5" style="19" bestFit="1" customWidth="1"/>
    <col min="13079" max="13079" width="10.83203125" style="19" bestFit="1" customWidth="1"/>
    <col min="13080" max="13316" width="9.1640625" style="19"/>
    <col min="13317" max="13317" width="29.33203125" style="19" customWidth="1"/>
    <col min="13318" max="13319" width="20.1640625" style="19" customWidth="1"/>
    <col min="13320" max="13321" width="17.1640625" style="19" customWidth="1"/>
    <col min="13322" max="13322" width="21.5" style="19" customWidth="1"/>
    <col min="13323" max="13323" width="18.33203125" style="19" customWidth="1"/>
    <col min="13324" max="13324" width="28.5" style="19" customWidth="1"/>
    <col min="13325" max="13325" width="21" style="19" customWidth="1"/>
    <col min="13326" max="13326" width="17.5" style="19" customWidth="1"/>
    <col min="13327" max="13327" width="22.6640625" style="19" customWidth="1"/>
    <col min="13328" max="13328" width="17.1640625" style="19" customWidth="1"/>
    <col min="13329" max="13329" width="15.83203125" style="19" customWidth="1"/>
    <col min="13330" max="13330" width="15.5" style="19" customWidth="1"/>
    <col min="13331" max="13331" width="16" style="19" customWidth="1"/>
    <col min="13332" max="13332" width="9.1640625" style="19" customWidth="1"/>
    <col min="13333" max="13333" width="17.33203125" style="19" customWidth="1"/>
    <col min="13334" max="13334" width="16.5" style="19" bestFit="1" customWidth="1"/>
    <col min="13335" max="13335" width="10.83203125" style="19" bestFit="1" customWidth="1"/>
    <col min="13336" max="13572" width="9.1640625" style="19"/>
    <col min="13573" max="13573" width="29.33203125" style="19" customWidth="1"/>
    <col min="13574" max="13575" width="20.1640625" style="19" customWidth="1"/>
    <col min="13576" max="13577" width="17.1640625" style="19" customWidth="1"/>
    <col min="13578" max="13578" width="21.5" style="19" customWidth="1"/>
    <col min="13579" max="13579" width="18.33203125" style="19" customWidth="1"/>
    <col min="13580" max="13580" width="28.5" style="19" customWidth="1"/>
    <col min="13581" max="13581" width="21" style="19" customWidth="1"/>
    <col min="13582" max="13582" width="17.5" style="19" customWidth="1"/>
    <col min="13583" max="13583" width="22.6640625" style="19" customWidth="1"/>
    <col min="13584" max="13584" width="17.1640625" style="19" customWidth="1"/>
    <col min="13585" max="13585" width="15.83203125" style="19" customWidth="1"/>
    <col min="13586" max="13586" width="15.5" style="19" customWidth="1"/>
    <col min="13587" max="13587" width="16" style="19" customWidth="1"/>
    <col min="13588" max="13588" width="9.1640625" style="19" customWidth="1"/>
    <col min="13589" max="13589" width="17.33203125" style="19" customWidth="1"/>
    <col min="13590" max="13590" width="16.5" style="19" bestFit="1" customWidth="1"/>
    <col min="13591" max="13591" width="10.83203125" style="19" bestFit="1" customWidth="1"/>
    <col min="13592" max="13828" width="9.1640625" style="19"/>
    <col min="13829" max="13829" width="29.33203125" style="19" customWidth="1"/>
    <col min="13830" max="13831" width="20.1640625" style="19" customWidth="1"/>
    <col min="13832" max="13833" width="17.1640625" style="19" customWidth="1"/>
    <col min="13834" max="13834" width="21.5" style="19" customWidth="1"/>
    <col min="13835" max="13835" width="18.33203125" style="19" customWidth="1"/>
    <col min="13836" max="13836" width="28.5" style="19" customWidth="1"/>
    <col min="13837" max="13837" width="21" style="19" customWidth="1"/>
    <col min="13838" max="13838" width="17.5" style="19" customWidth="1"/>
    <col min="13839" max="13839" width="22.6640625" style="19" customWidth="1"/>
    <col min="13840" max="13840" width="17.1640625" style="19" customWidth="1"/>
    <col min="13841" max="13841" width="15.83203125" style="19" customWidth="1"/>
    <col min="13842" max="13842" width="15.5" style="19" customWidth="1"/>
    <col min="13843" max="13843" width="16" style="19" customWidth="1"/>
    <col min="13844" max="13844" width="9.1640625" style="19" customWidth="1"/>
    <col min="13845" max="13845" width="17.33203125" style="19" customWidth="1"/>
    <col min="13846" max="13846" width="16.5" style="19" bestFit="1" customWidth="1"/>
    <col min="13847" max="13847" width="10.83203125" style="19" bestFit="1" customWidth="1"/>
    <col min="13848" max="14084" width="9.1640625" style="19"/>
    <col min="14085" max="14085" width="29.33203125" style="19" customWidth="1"/>
    <col min="14086" max="14087" width="20.1640625" style="19" customWidth="1"/>
    <col min="14088" max="14089" width="17.1640625" style="19" customWidth="1"/>
    <col min="14090" max="14090" width="21.5" style="19" customWidth="1"/>
    <col min="14091" max="14091" width="18.33203125" style="19" customWidth="1"/>
    <col min="14092" max="14092" width="28.5" style="19" customWidth="1"/>
    <col min="14093" max="14093" width="21" style="19" customWidth="1"/>
    <col min="14094" max="14094" width="17.5" style="19" customWidth="1"/>
    <col min="14095" max="14095" width="22.6640625" style="19" customWidth="1"/>
    <col min="14096" max="14096" width="17.1640625" style="19" customWidth="1"/>
    <col min="14097" max="14097" width="15.83203125" style="19" customWidth="1"/>
    <col min="14098" max="14098" width="15.5" style="19" customWidth="1"/>
    <col min="14099" max="14099" width="16" style="19" customWidth="1"/>
    <col min="14100" max="14100" width="9.1640625" style="19" customWidth="1"/>
    <col min="14101" max="14101" width="17.33203125" style="19" customWidth="1"/>
    <col min="14102" max="14102" width="16.5" style="19" bestFit="1" customWidth="1"/>
    <col min="14103" max="14103" width="10.83203125" style="19" bestFit="1" customWidth="1"/>
    <col min="14104" max="14340" width="9.1640625" style="19"/>
    <col min="14341" max="14341" width="29.33203125" style="19" customWidth="1"/>
    <col min="14342" max="14343" width="20.1640625" style="19" customWidth="1"/>
    <col min="14344" max="14345" width="17.1640625" style="19" customWidth="1"/>
    <col min="14346" max="14346" width="21.5" style="19" customWidth="1"/>
    <col min="14347" max="14347" width="18.33203125" style="19" customWidth="1"/>
    <col min="14348" max="14348" width="28.5" style="19" customWidth="1"/>
    <col min="14349" max="14349" width="21" style="19" customWidth="1"/>
    <col min="14350" max="14350" width="17.5" style="19" customWidth="1"/>
    <col min="14351" max="14351" width="22.6640625" style="19" customWidth="1"/>
    <col min="14352" max="14352" width="17.1640625" style="19" customWidth="1"/>
    <col min="14353" max="14353" width="15.83203125" style="19" customWidth="1"/>
    <col min="14354" max="14354" width="15.5" style="19" customWidth="1"/>
    <col min="14355" max="14355" width="16" style="19" customWidth="1"/>
    <col min="14356" max="14356" width="9.1640625" style="19" customWidth="1"/>
    <col min="14357" max="14357" width="17.33203125" style="19" customWidth="1"/>
    <col min="14358" max="14358" width="16.5" style="19" bestFit="1" customWidth="1"/>
    <col min="14359" max="14359" width="10.83203125" style="19" bestFit="1" customWidth="1"/>
    <col min="14360" max="14596" width="9.1640625" style="19"/>
    <col min="14597" max="14597" width="29.33203125" style="19" customWidth="1"/>
    <col min="14598" max="14599" width="20.1640625" style="19" customWidth="1"/>
    <col min="14600" max="14601" width="17.1640625" style="19" customWidth="1"/>
    <col min="14602" max="14602" width="21.5" style="19" customWidth="1"/>
    <col min="14603" max="14603" width="18.33203125" style="19" customWidth="1"/>
    <col min="14604" max="14604" width="28.5" style="19" customWidth="1"/>
    <col min="14605" max="14605" width="21" style="19" customWidth="1"/>
    <col min="14606" max="14606" width="17.5" style="19" customWidth="1"/>
    <col min="14607" max="14607" width="22.6640625" style="19" customWidth="1"/>
    <col min="14608" max="14608" width="17.1640625" style="19" customWidth="1"/>
    <col min="14609" max="14609" width="15.83203125" style="19" customWidth="1"/>
    <col min="14610" max="14610" width="15.5" style="19" customWidth="1"/>
    <col min="14611" max="14611" width="16" style="19" customWidth="1"/>
    <col min="14612" max="14612" width="9.1640625" style="19" customWidth="1"/>
    <col min="14613" max="14613" width="17.33203125" style="19" customWidth="1"/>
    <col min="14614" max="14614" width="16.5" style="19" bestFit="1" customWidth="1"/>
    <col min="14615" max="14615" width="10.83203125" style="19" bestFit="1" customWidth="1"/>
    <col min="14616" max="14852" width="9.1640625" style="19"/>
    <col min="14853" max="14853" width="29.33203125" style="19" customWidth="1"/>
    <col min="14854" max="14855" width="20.1640625" style="19" customWidth="1"/>
    <col min="14856" max="14857" width="17.1640625" style="19" customWidth="1"/>
    <col min="14858" max="14858" width="21.5" style="19" customWidth="1"/>
    <col min="14859" max="14859" width="18.33203125" style="19" customWidth="1"/>
    <col min="14860" max="14860" width="28.5" style="19" customWidth="1"/>
    <col min="14861" max="14861" width="21" style="19" customWidth="1"/>
    <col min="14862" max="14862" width="17.5" style="19" customWidth="1"/>
    <col min="14863" max="14863" width="22.6640625" style="19" customWidth="1"/>
    <col min="14864" max="14864" width="17.1640625" style="19" customWidth="1"/>
    <col min="14865" max="14865" width="15.83203125" style="19" customWidth="1"/>
    <col min="14866" max="14866" width="15.5" style="19" customWidth="1"/>
    <col min="14867" max="14867" width="16" style="19" customWidth="1"/>
    <col min="14868" max="14868" width="9.1640625" style="19" customWidth="1"/>
    <col min="14869" max="14869" width="17.33203125" style="19" customWidth="1"/>
    <col min="14870" max="14870" width="16.5" style="19" bestFit="1" customWidth="1"/>
    <col min="14871" max="14871" width="10.83203125" style="19" bestFit="1" customWidth="1"/>
    <col min="14872" max="15108" width="9.1640625" style="19"/>
    <col min="15109" max="15109" width="29.33203125" style="19" customWidth="1"/>
    <col min="15110" max="15111" width="20.1640625" style="19" customWidth="1"/>
    <col min="15112" max="15113" width="17.1640625" style="19" customWidth="1"/>
    <col min="15114" max="15114" width="21.5" style="19" customWidth="1"/>
    <col min="15115" max="15115" width="18.33203125" style="19" customWidth="1"/>
    <col min="15116" max="15116" width="28.5" style="19" customWidth="1"/>
    <col min="15117" max="15117" width="21" style="19" customWidth="1"/>
    <col min="15118" max="15118" width="17.5" style="19" customWidth="1"/>
    <col min="15119" max="15119" width="22.6640625" style="19" customWidth="1"/>
    <col min="15120" max="15120" width="17.1640625" style="19" customWidth="1"/>
    <col min="15121" max="15121" width="15.83203125" style="19" customWidth="1"/>
    <col min="15122" max="15122" width="15.5" style="19" customWidth="1"/>
    <col min="15123" max="15123" width="16" style="19" customWidth="1"/>
    <col min="15124" max="15124" width="9.1640625" style="19" customWidth="1"/>
    <col min="15125" max="15125" width="17.33203125" style="19" customWidth="1"/>
    <col min="15126" max="15126" width="16.5" style="19" bestFit="1" customWidth="1"/>
    <col min="15127" max="15127" width="10.83203125" style="19" bestFit="1" customWidth="1"/>
    <col min="15128" max="15364" width="9.1640625" style="19"/>
    <col min="15365" max="15365" width="29.33203125" style="19" customWidth="1"/>
    <col min="15366" max="15367" width="20.1640625" style="19" customWidth="1"/>
    <col min="15368" max="15369" width="17.1640625" style="19" customWidth="1"/>
    <col min="15370" max="15370" width="21.5" style="19" customWidth="1"/>
    <col min="15371" max="15371" width="18.33203125" style="19" customWidth="1"/>
    <col min="15372" max="15372" width="28.5" style="19" customWidth="1"/>
    <col min="15373" max="15373" width="21" style="19" customWidth="1"/>
    <col min="15374" max="15374" width="17.5" style="19" customWidth="1"/>
    <col min="15375" max="15375" width="22.6640625" style="19" customWidth="1"/>
    <col min="15376" max="15376" width="17.1640625" style="19" customWidth="1"/>
    <col min="15377" max="15377" width="15.83203125" style="19" customWidth="1"/>
    <col min="15378" max="15378" width="15.5" style="19" customWidth="1"/>
    <col min="15379" max="15379" width="16" style="19" customWidth="1"/>
    <col min="15380" max="15380" width="9.1640625" style="19" customWidth="1"/>
    <col min="15381" max="15381" width="17.33203125" style="19" customWidth="1"/>
    <col min="15382" max="15382" width="16.5" style="19" bestFit="1" customWidth="1"/>
    <col min="15383" max="15383" width="10.83203125" style="19" bestFit="1" customWidth="1"/>
    <col min="15384" max="15620" width="9.1640625" style="19"/>
    <col min="15621" max="15621" width="29.33203125" style="19" customWidth="1"/>
    <col min="15622" max="15623" width="20.1640625" style="19" customWidth="1"/>
    <col min="15624" max="15625" width="17.1640625" style="19" customWidth="1"/>
    <col min="15626" max="15626" width="21.5" style="19" customWidth="1"/>
    <col min="15627" max="15627" width="18.33203125" style="19" customWidth="1"/>
    <col min="15628" max="15628" width="28.5" style="19" customWidth="1"/>
    <col min="15629" max="15629" width="21" style="19" customWidth="1"/>
    <col min="15630" max="15630" width="17.5" style="19" customWidth="1"/>
    <col min="15631" max="15631" width="22.6640625" style="19" customWidth="1"/>
    <col min="15632" max="15632" width="17.1640625" style="19" customWidth="1"/>
    <col min="15633" max="15633" width="15.83203125" style="19" customWidth="1"/>
    <col min="15634" max="15634" width="15.5" style="19" customWidth="1"/>
    <col min="15635" max="15635" width="16" style="19" customWidth="1"/>
    <col min="15636" max="15636" width="9.1640625" style="19" customWidth="1"/>
    <col min="15637" max="15637" width="17.33203125" style="19" customWidth="1"/>
    <col min="15638" max="15638" width="16.5" style="19" bestFit="1" customWidth="1"/>
    <col min="15639" max="15639" width="10.83203125" style="19" bestFit="1" customWidth="1"/>
    <col min="15640" max="15876" width="9.1640625" style="19"/>
    <col min="15877" max="15877" width="29.33203125" style="19" customWidth="1"/>
    <col min="15878" max="15879" width="20.1640625" style="19" customWidth="1"/>
    <col min="15880" max="15881" width="17.1640625" style="19" customWidth="1"/>
    <col min="15882" max="15882" width="21.5" style="19" customWidth="1"/>
    <col min="15883" max="15883" width="18.33203125" style="19" customWidth="1"/>
    <col min="15884" max="15884" width="28.5" style="19" customWidth="1"/>
    <col min="15885" max="15885" width="21" style="19" customWidth="1"/>
    <col min="15886" max="15886" width="17.5" style="19" customWidth="1"/>
    <col min="15887" max="15887" width="22.6640625" style="19" customWidth="1"/>
    <col min="15888" max="15888" width="17.1640625" style="19" customWidth="1"/>
    <col min="15889" max="15889" width="15.83203125" style="19" customWidth="1"/>
    <col min="15890" max="15890" width="15.5" style="19" customWidth="1"/>
    <col min="15891" max="15891" width="16" style="19" customWidth="1"/>
    <col min="15892" max="15892" width="9.1640625" style="19" customWidth="1"/>
    <col min="15893" max="15893" width="17.33203125" style="19" customWidth="1"/>
    <col min="15894" max="15894" width="16.5" style="19" bestFit="1" customWidth="1"/>
    <col min="15895" max="15895" width="10.83203125" style="19" bestFit="1" customWidth="1"/>
    <col min="15896" max="16132" width="9.1640625" style="19"/>
    <col min="16133" max="16133" width="29.33203125" style="19" customWidth="1"/>
    <col min="16134" max="16135" width="20.1640625" style="19" customWidth="1"/>
    <col min="16136" max="16137" width="17.1640625" style="19" customWidth="1"/>
    <col min="16138" max="16138" width="21.5" style="19" customWidth="1"/>
    <col min="16139" max="16139" width="18.33203125" style="19" customWidth="1"/>
    <col min="16140" max="16140" width="28.5" style="19" customWidth="1"/>
    <col min="16141" max="16141" width="21" style="19" customWidth="1"/>
    <col min="16142" max="16142" width="17.5" style="19" customWidth="1"/>
    <col min="16143" max="16143" width="22.6640625" style="19" customWidth="1"/>
    <col min="16144" max="16144" width="17.1640625" style="19" customWidth="1"/>
    <col min="16145" max="16145" width="15.83203125" style="19" customWidth="1"/>
    <col min="16146" max="16146" width="15.5" style="19" customWidth="1"/>
    <col min="16147" max="16147" width="16" style="19" customWidth="1"/>
    <col min="16148" max="16148" width="9.1640625" style="19" customWidth="1"/>
    <col min="16149" max="16149" width="17.33203125" style="19" customWidth="1"/>
    <col min="16150" max="16150" width="16.5" style="19" bestFit="1" customWidth="1"/>
    <col min="16151" max="16151" width="10.83203125" style="19" bestFit="1" customWidth="1"/>
    <col min="16152" max="16384" width="9.1640625" style="19"/>
  </cols>
  <sheetData>
    <row r="1" spans="1:260" ht="17">
      <c r="A1" s="294" t="s">
        <v>81</v>
      </c>
      <c r="B1" s="294"/>
      <c r="C1" s="294"/>
      <c r="D1" s="294"/>
      <c r="E1" s="294"/>
      <c r="F1" s="294"/>
      <c r="G1" s="294"/>
      <c r="H1" s="294"/>
      <c r="I1" s="294"/>
      <c r="J1" s="294"/>
      <c r="K1" s="294"/>
      <c r="L1" s="294"/>
      <c r="M1" s="294"/>
      <c r="N1" s="294"/>
      <c r="O1" s="294"/>
      <c r="P1" s="294"/>
      <c r="Q1" s="294"/>
      <c r="R1" s="294"/>
      <c r="S1" s="294"/>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c r="IW1" s="25"/>
      <c r="IX1" s="25"/>
      <c r="IY1" s="25"/>
      <c r="IZ1" s="25"/>
    </row>
    <row r="2" spans="1:260" ht="17">
      <c r="A2" s="295" t="s">
        <v>151</v>
      </c>
      <c r="B2" s="295"/>
      <c r="C2" s="295"/>
      <c r="D2" s="295"/>
      <c r="E2" s="295"/>
      <c r="F2" s="295"/>
      <c r="G2" s="295"/>
      <c r="H2" s="295"/>
      <c r="I2" s="295"/>
      <c r="J2" s="295"/>
      <c r="K2" s="295"/>
      <c r="L2" s="295"/>
      <c r="M2" s="295"/>
      <c r="N2" s="295"/>
      <c r="O2" s="295"/>
      <c r="P2" s="295"/>
      <c r="Q2" s="295"/>
      <c r="R2" s="295"/>
      <c r="S2" s="29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row>
    <row r="3" spans="1:260" ht="15">
      <c r="A3" s="296" t="s">
        <v>183</v>
      </c>
      <c r="B3" s="296"/>
      <c r="C3" s="296"/>
      <c r="D3" s="296"/>
      <c r="E3" s="296"/>
      <c r="F3" s="296"/>
      <c r="G3" s="296"/>
      <c r="H3" s="296"/>
      <c r="I3" s="296"/>
      <c r="J3" s="296"/>
      <c r="K3" s="296"/>
      <c r="L3" s="296"/>
      <c r="M3" s="296"/>
      <c r="N3" s="296"/>
      <c r="O3" s="296"/>
      <c r="P3" s="296"/>
      <c r="Q3" s="296"/>
      <c r="R3" s="296"/>
      <c r="S3" s="29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c r="IW3" s="26"/>
      <c r="IX3" s="26"/>
      <c r="IY3" s="26"/>
      <c r="IZ3" s="26"/>
    </row>
    <row r="4" spans="1:260">
      <c r="A4" s="297"/>
      <c r="B4" s="297"/>
      <c r="C4" s="297"/>
      <c r="D4" s="297"/>
      <c r="E4" s="297"/>
      <c r="F4" s="297"/>
      <c r="G4" s="297"/>
      <c r="H4" s="297"/>
      <c r="I4" s="297"/>
      <c r="J4" s="297"/>
      <c r="K4" s="297"/>
      <c r="L4" s="297"/>
      <c r="M4" s="297"/>
      <c r="N4" s="297"/>
      <c r="O4" s="297"/>
      <c r="P4" s="297"/>
      <c r="Q4" s="297"/>
      <c r="R4" s="297"/>
      <c r="S4" s="297"/>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row>
    <row r="5" spans="1:260">
      <c r="A5" s="27"/>
      <c r="B5" s="298" t="s">
        <v>82</v>
      </c>
      <c r="C5" s="298"/>
      <c r="D5" s="298"/>
      <c r="E5" s="298"/>
      <c r="F5" s="298"/>
      <c r="G5" s="298"/>
      <c r="H5" s="298"/>
      <c r="I5" s="298"/>
      <c r="J5" s="298"/>
      <c r="K5" s="298"/>
      <c r="L5" s="298"/>
      <c r="M5" s="298"/>
      <c r="N5" s="298"/>
      <c r="O5" s="298"/>
      <c r="P5" s="298"/>
      <c r="Q5" s="298"/>
      <c r="R5" s="298"/>
      <c r="S5" s="298"/>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row>
    <row r="6" spans="1:260" ht="14">
      <c r="A6" s="27"/>
      <c r="B6" s="28" t="s">
        <v>83</v>
      </c>
      <c r="C6" s="28" t="s">
        <v>84</v>
      </c>
      <c r="D6" s="55"/>
      <c r="E6" s="28" t="s">
        <v>85</v>
      </c>
      <c r="F6" s="28" t="s">
        <v>118</v>
      </c>
      <c r="G6" s="28" t="s">
        <v>86</v>
      </c>
      <c r="H6" s="28" t="s">
        <v>87</v>
      </c>
      <c r="I6" s="28" t="s">
        <v>88</v>
      </c>
      <c r="J6" s="28" t="s">
        <v>89</v>
      </c>
      <c r="K6" s="28" t="s">
        <v>90</v>
      </c>
      <c r="L6" s="55"/>
      <c r="M6" s="299"/>
      <c r="N6" s="299"/>
      <c r="O6" s="299"/>
      <c r="P6" s="299"/>
      <c r="Q6" s="299"/>
      <c r="R6" s="299"/>
      <c r="S6" s="29"/>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row>
    <row r="7" spans="1:260" ht="14">
      <c r="A7" s="27"/>
      <c r="B7" s="30"/>
      <c r="C7" s="30"/>
      <c r="D7" s="30"/>
      <c r="E7" s="30"/>
      <c r="F7" s="30"/>
      <c r="G7" s="30"/>
      <c r="H7" s="30"/>
      <c r="I7" s="30"/>
      <c r="J7" s="30"/>
      <c r="K7" s="30"/>
      <c r="L7" s="30"/>
      <c r="M7" s="292"/>
      <c r="N7" s="292"/>
      <c r="O7" s="293"/>
      <c r="P7" s="30"/>
      <c r="Q7" s="30"/>
      <c r="R7" s="30"/>
      <c r="S7" s="31"/>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row>
    <row r="8" spans="1:260">
      <c r="A8" s="32"/>
      <c r="B8" s="33" t="s">
        <v>91</v>
      </c>
      <c r="C8" s="33" t="s">
        <v>92</v>
      </c>
      <c r="D8" s="33"/>
      <c r="E8" s="33" t="s">
        <v>93</v>
      </c>
      <c r="F8" s="33" t="s">
        <v>116</v>
      </c>
      <c r="G8" s="33" t="s">
        <v>94</v>
      </c>
      <c r="H8" s="33" t="s">
        <v>95</v>
      </c>
      <c r="I8" s="33"/>
      <c r="J8" s="33" t="s">
        <v>96</v>
      </c>
      <c r="K8" s="33" t="s">
        <v>97</v>
      </c>
      <c r="L8" s="33"/>
      <c r="M8" s="33" t="s">
        <v>131</v>
      </c>
      <c r="N8" s="33"/>
      <c r="O8" s="47" t="s">
        <v>129</v>
      </c>
      <c r="P8" s="34" t="s">
        <v>98</v>
      </c>
      <c r="Q8" s="34" t="s">
        <v>135</v>
      </c>
      <c r="R8" s="34"/>
      <c r="S8" s="33"/>
    </row>
    <row r="9" spans="1:260" ht="12" thickBot="1">
      <c r="A9" s="35" t="s">
        <v>35</v>
      </c>
      <c r="B9" s="35" t="s">
        <v>99</v>
      </c>
      <c r="C9" s="35" t="s">
        <v>99</v>
      </c>
      <c r="D9" s="35"/>
      <c r="E9" s="35" t="s">
        <v>100</v>
      </c>
      <c r="F9" s="35" t="s">
        <v>117</v>
      </c>
      <c r="G9" s="35" t="s">
        <v>101</v>
      </c>
      <c r="H9" s="35" t="s">
        <v>100</v>
      </c>
      <c r="I9" s="35" t="s">
        <v>102</v>
      </c>
      <c r="J9" s="35" t="s">
        <v>103</v>
      </c>
      <c r="K9" s="35" t="s">
        <v>100</v>
      </c>
      <c r="L9" s="35"/>
      <c r="M9" s="49" t="s">
        <v>132</v>
      </c>
      <c r="N9" s="49"/>
      <c r="O9" s="50" t="s">
        <v>130</v>
      </c>
      <c r="P9" s="35" t="s">
        <v>104</v>
      </c>
      <c r="Q9" s="35" t="s">
        <v>136</v>
      </c>
      <c r="R9" s="35" t="s">
        <v>134</v>
      </c>
      <c r="S9" s="36" t="s">
        <v>105</v>
      </c>
    </row>
    <row r="10" spans="1:260">
      <c r="A10" s="37" t="s">
        <v>119</v>
      </c>
      <c r="B10" s="38">
        <v>845028.47013523255</v>
      </c>
      <c r="C10" s="38">
        <v>220627.8940619285</v>
      </c>
      <c r="D10" s="73"/>
      <c r="E10" s="131">
        <v>23296675</v>
      </c>
      <c r="F10" s="38">
        <v>0</v>
      </c>
      <c r="G10" s="38">
        <v>4193149.1290930095</v>
      </c>
      <c r="H10" s="38">
        <v>15354646.306666108</v>
      </c>
      <c r="I10" s="38">
        <v>257470.45357399888</v>
      </c>
      <c r="J10" s="38">
        <v>5000000</v>
      </c>
      <c r="K10" s="38">
        <v>186</v>
      </c>
      <c r="L10" s="73"/>
      <c r="M10" s="38">
        <v>0</v>
      </c>
      <c r="N10" s="291">
        <f>O10/$O$67</f>
        <v>0</v>
      </c>
      <c r="O10" s="38">
        <v>0</v>
      </c>
      <c r="P10" s="38">
        <v>2420963.0560460961</v>
      </c>
      <c r="Q10" s="38">
        <v>1250000</v>
      </c>
      <c r="R10" s="38">
        <v>3670963.0560460961</v>
      </c>
      <c r="S10" s="39">
        <f t="shared" ref="S10:S41" si="0">SUM(B10:Q10)</f>
        <v>52838746.309576377</v>
      </c>
    </row>
    <row r="11" spans="1:260">
      <c r="A11" s="37" t="s">
        <v>36</v>
      </c>
      <c r="B11" s="38">
        <v>424042.65635833942</v>
      </c>
      <c r="C11" s="38">
        <v>110720.39964912497</v>
      </c>
      <c r="D11" s="291"/>
      <c r="E11" s="131">
        <v>14663316</v>
      </c>
      <c r="F11" s="38">
        <v>0</v>
      </c>
      <c r="G11" s="38">
        <v>383223.77494775085</v>
      </c>
      <c r="H11" s="38">
        <v>8092575.2286323858</v>
      </c>
      <c r="I11" s="38">
        <v>94485.623952419846</v>
      </c>
      <c r="J11" s="38">
        <v>0</v>
      </c>
      <c r="K11" s="38">
        <v>371566</v>
      </c>
      <c r="L11" s="291"/>
      <c r="M11" s="38">
        <v>18485805.352691513</v>
      </c>
      <c r="N11" s="291">
        <f t="shared" ref="N11:N65" si="1">O11/$O$67</f>
        <v>0</v>
      </c>
      <c r="O11" s="38">
        <v>0</v>
      </c>
      <c r="P11" s="38">
        <v>633446.07570778567</v>
      </c>
      <c r="Q11" s="38">
        <v>1250000</v>
      </c>
      <c r="R11" s="38">
        <v>1883446.0757077858</v>
      </c>
      <c r="S11" s="74">
        <f t="shared" si="0"/>
        <v>44509181.111939318</v>
      </c>
    </row>
    <row r="12" spans="1:260">
      <c r="A12" s="37" t="s">
        <v>37</v>
      </c>
      <c r="B12" s="38">
        <v>0</v>
      </c>
      <c r="C12" s="38">
        <v>0</v>
      </c>
      <c r="D12" s="73"/>
      <c r="E12" s="131">
        <v>0</v>
      </c>
      <c r="F12" s="38">
        <v>0</v>
      </c>
      <c r="G12" s="38">
        <v>11912.854594446682</v>
      </c>
      <c r="H12" s="38">
        <v>299794.79628052487</v>
      </c>
      <c r="I12" s="38">
        <v>14126.799105700655</v>
      </c>
      <c r="J12" s="38">
        <v>0</v>
      </c>
      <c r="K12" s="38">
        <v>0</v>
      </c>
      <c r="L12" s="73"/>
      <c r="M12" s="38">
        <v>0</v>
      </c>
      <c r="N12" s="291">
        <f t="shared" si="1"/>
        <v>0</v>
      </c>
      <c r="O12" s="38">
        <v>0</v>
      </c>
      <c r="P12" s="38">
        <v>0</v>
      </c>
      <c r="Q12" s="38">
        <v>500000</v>
      </c>
      <c r="R12" s="38">
        <v>500000</v>
      </c>
      <c r="S12" s="74">
        <f t="shared" si="0"/>
        <v>825834.44998067222</v>
      </c>
    </row>
    <row r="13" spans="1:260">
      <c r="A13" s="37" t="s">
        <v>38</v>
      </c>
      <c r="B13" s="38">
        <v>2434324.9953056583</v>
      </c>
      <c r="C13" s="38">
        <v>485581.83845349954</v>
      </c>
      <c r="D13" s="73"/>
      <c r="E13" s="131">
        <v>74012567</v>
      </c>
      <c r="F13" s="38">
        <v>429124</v>
      </c>
      <c r="G13" s="38">
        <v>5564110.6621699417</v>
      </c>
      <c r="H13" s="38">
        <v>11592249.522923062</v>
      </c>
      <c r="I13" s="38">
        <v>164092.6229913618</v>
      </c>
      <c r="J13" s="38">
        <v>0</v>
      </c>
      <c r="K13" s="38">
        <v>1538917</v>
      </c>
      <c r="L13" s="73"/>
      <c r="M13" s="38">
        <v>343373.6245709291</v>
      </c>
      <c r="N13" s="291">
        <f t="shared" si="1"/>
        <v>3.4246336557956135E-2</v>
      </c>
      <c r="O13" s="38">
        <v>2113963</v>
      </c>
      <c r="P13" s="38">
        <v>7598322.6577488752</v>
      </c>
      <c r="Q13" s="38">
        <v>1250000</v>
      </c>
      <c r="R13" s="38">
        <v>8848322.6577488743</v>
      </c>
      <c r="S13" s="74">
        <f t="shared" si="0"/>
        <v>107526626.9584097</v>
      </c>
    </row>
    <row r="14" spans="1:260">
      <c r="A14" s="37" t="s">
        <v>39</v>
      </c>
      <c r="B14" s="38">
        <v>425321.89474419679</v>
      </c>
      <c r="C14" s="38">
        <v>112008.86894759882</v>
      </c>
      <c r="D14" s="73"/>
      <c r="E14" s="131">
        <v>12536587</v>
      </c>
      <c r="F14" s="38">
        <v>225341.99999999997</v>
      </c>
      <c r="G14" s="38">
        <v>2479766.3961938517</v>
      </c>
      <c r="H14" s="38">
        <v>11943861.270825813</v>
      </c>
      <c r="I14" s="38">
        <v>202770.96566410188</v>
      </c>
      <c r="J14" s="38">
        <v>0</v>
      </c>
      <c r="K14" s="38">
        <v>0</v>
      </c>
      <c r="L14" s="73"/>
      <c r="M14" s="38">
        <v>277218.00742572965</v>
      </c>
      <c r="N14" s="291">
        <f t="shared" si="1"/>
        <v>0</v>
      </c>
      <c r="O14" s="38">
        <v>0</v>
      </c>
      <c r="P14" s="38">
        <v>1291674.4774455675</v>
      </c>
      <c r="Q14" s="38">
        <v>1250000</v>
      </c>
      <c r="R14" s="38">
        <v>2541674.4774455675</v>
      </c>
      <c r="S14" s="74">
        <f t="shared" si="0"/>
        <v>30744550.881246865</v>
      </c>
    </row>
    <row r="15" spans="1:260">
      <c r="A15" s="37" t="s">
        <v>120</v>
      </c>
      <c r="B15" s="38">
        <v>15901097.268659456</v>
      </c>
      <c r="C15" s="38">
        <v>3171663.354258786</v>
      </c>
      <c r="D15" s="73"/>
      <c r="E15" s="131">
        <v>772531268</v>
      </c>
      <c r="F15" s="38">
        <v>2841320.0000000005</v>
      </c>
      <c r="G15" s="38">
        <v>28367466.535805617</v>
      </c>
      <c r="H15" s="38">
        <v>27488728.074220266</v>
      </c>
      <c r="I15" s="38">
        <v>366010.8408593919</v>
      </c>
      <c r="J15" s="38">
        <v>0</v>
      </c>
      <c r="K15" s="38">
        <v>531845</v>
      </c>
      <c r="L15" s="73"/>
      <c r="M15" s="38">
        <v>323256064.37535042</v>
      </c>
      <c r="N15" s="291">
        <f t="shared" si="1"/>
        <v>0.20672425789530385</v>
      </c>
      <c r="O15" s="38">
        <v>12760706</v>
      </c>
      <c r="P15" s="38">
        <v>65518810.418280154</v>
      </c>
      <c r="Q15" s="38">
        <v>1250000</v>
      </c>
      <c r="R15" s="38">
        <v>66768810.418280154</v>
      </c>
      <c r="S15" s="74">
        <f t="shared" si="0"/>
        <v>1253984980.0741582</v>
      </c>
    </row>
    <row r="16" spans="1:260">
      <c r="A16" s="37" t="s">
        <v>40</v>
      </c>
      <c r="B16" s="38">
        <v>1780573.5008622939</v>
      </c>
      <c r="C16" s="38">
        <v>366761.38424982782</v>
      </c>
      <c r="D16" s="73"/>
      <c r="E16" s="131">
        <v>72945975</v>
      </c>
      <c r="F16" s="38">
        <v>527141</v>
      </c>
      <c r="G16" s="38">
        <v>3714556.6343326019</v>
      </c>
      <c r="H16" s="38">
        <v>10989296.801304284</v>
      </c>
      <c r="I16" s="38">
        <v>155349.03771246134</v>
      </c>
      <c r="J16" s="38">
        <v>0</v>
      </c>
      <c r="K16" s="38">
        <v>152496</v>
      </c>
      <c r="L16" s="73"/>
      <c r="M16" s="38">
        <v>12083532.021475675</v>
      </c>
      <c r="N16" s="291">
        <f t="shared" si="1"/>
        <v>1.2546301808818182E-2</v>
      </c>
      <c r="O16" s="38">
        <v>774460</v>
      </c>
      <c r="P16" s="38">
        <v>6791749.3397457711</v>
      </c>
      <c r="Q16" s="38">
        <v>1250000</v>
      </c>
      <c r="R16" s="38">
        <v>8041749.3397457711</v>
      </c>
      <c r="S16" s="74">
        <f t="shared" si="0"/>
        <v>111531890.7322292</v>
      </c>
    </row>
    <row r="17" spans="1:19">
      <c r="A17" s="37" t="s">
        <v>121</v>
      </c>
      <c r="B17" s="38">
        <v>1101855.9683098716</v>
      </c>
      <c r="C17" s="38">
        <v>287678.56045092602</v>
      </c>
      <c r="D17" s="73"/>
      <c r="E17" s="131">
        <v>93888648</v>
      </c>
      <c r="F17" s="38">
        <v>0</v>
      </c>
      <c r="G17" s="38">
        <v>3150169.4258275228</v>
      </c>
      <c r="H17" s="38">
        <v>2935241.7824494932</v>
      </c>
      <c r="I17" s="38">
        <v>106167.10061093749</v>
      </c>
      <c r="J17" s="38">
        <v>0</v>
      </c>
      <c r="K17" s="38">
        <v>0</v>
      </c>
      <c r="L17" s="73"/>
      <c r="M17" s="38">
        <v>49972476.589020059</v>
      </c>
      <c r="N17" s="291">
        <f t="shared" si="1"/>
        <v>1.2689299776520113E-2</v>
      </c>
      <c r="O17" s="38">
        <v>783287</v>
      </c>
      <c r="P17" s="38">
        <v>4187634.5328184101</v>
      </c>
      <c r="Q17" s="38">
        <v>1250000</v>
      </c>
      <c r="R17" s="38">
        <v>5437634.5328184105</v>
      </c>
      <c r="S17" s="74">
        <f t="shared" si="0"/>
        <v>157663158.97217652</v>
      </c>
    </row>
    <row r="18" spans="1:19">
      <c r="A18" s="37" t="s">
        <v>41</v>
      </c>
      <c r="B18" s="38">
        <v>424042.65635833942</v>
      </c>
      <c r="C18" s="38">
        <v>110720.39964912497</v>
      </c>
      <c r="D18" s="73"/>
      <c r="E18" s="131">
        <v>19301602</v>
      </c>
      <c r="F18" s="38">
        <v>0</v>
      </c>
      <c r="G18" s="38">
        <v>811201.11198975588</v>
      </c>
      <c r="H18" s="38">
        <v>1675321.5707678406</v>
      </c>
      <c r="I18" s="38">
        <v>85503.541858408003</v>
      </c>
      <c r="J18" s="38">
        <v>0</v>
      </c>
      <c r="K18" s="38">
        <v>0</v>
      </c>
      <c r="L18" s="73"/>
      <c r="M18" s="38">
        <v>0</v>
      </c>
      <c r="N18" s="291">
        <f t="shared" si="1"/>
        <v>0</v>
      </c>
      <c r="O18" s="38">
        <v>0</v>
      </c>
      <c r="P18" s="38">
        <v>935052.26712943532</v>
      </c>
      <c r="Q18" s="38">
        <v>1250000</v>
      </c>
      <c r="R18" s="38">
        <v>2185052.2671294352</v>
      </c>
      <c r="S18" s="74">
        <f t="shared" si="0"/>
        <v>24593443.547752906</v>
      </c>
    </row>
    <row r="19" spans="1:19">
      <c r="A19" s="37" t="s">
        <v>42</v>
      </c>
      <c r="B19" s="38">
        <v>424042.65635833942</v>
      </c>
      <c r="C19" s="38">
        <v>110720.39964912497</v>
      </c>
      <c r="D19" s="73"/>
      <c r="E19" s="131">
        <v>20371867</v>
      </c>
      <c r="F19" s="38">
        <v>1788426</v>
      </c>
      <c r="G19" s="38">
        <v>370869.70351647283</v>
      </c>
      <c r="H19" s="38">
        <v>0</v>
      </c>
      <c r="I19" s="38">
        <v>0</v>
      </c>
      <c r="J19" s="38">
        <v>0</v>
      </c>
      <c r="K19" s="38">
        <v>0</v>
      </c>
      <c r="L19" s="73"/>
      <c r="M19" s="38">
        <v>139125067.31440115</v>
      </c>
      <c r="N19" s="291">
        <f t="shared" si="1"/>
        <v>6.8503883560417742E-2</v>
      </c>
      <c r="O19" s="38">
        <v>4228618</v>
      </c>
      <c r="P19" s="38">
        <v>1278568.2924158406</v>
      </c>
      <c r="Q19" s="38">
        <v>500000</v>
      </c>
      <c r="R19" s="38">
        <v>1778568.2924158406</v>
      </c>
      <c r="S19" s="74">
        <f t="shared" si="0"/>
        <v>168198179.43484479</v>
      </c>
    </row>
    <row r="20" spans="1:19">
      <c r="A20" s="37" t="s">
        <v>43</v>
      </c>
      <c r="B20" s="38">
        <v>7639678.2880632896</v>
      </c>
      <c r="C20" s="38">
        <v>1559843.3577044739</v>
      </c>
      <c r="D20" s="73"/>
      <c r="E20" s="131">
        <v>250618420</v>
      </c>
      <c r="F20" s="38">
        <v>760282</v>
      </c>
      <c r="G20" s="38">
        <v>20502263.330023907</v>
      </c>
      <c r="H20" s="38">
        <v>15622377.541769771</v>
      </c>
      <c r="I20" s="38">
        <v>250108.20290996815</v>
      </c>
      <c r="J20" s="38">
        <v>0</v>
      </c>
      <c r="K20" s="38">
        <v>0</v>
      </c>
      <c r="L20" s="73"/>
      <c r="M20" s="38">
        <v>37396800.211208828</v>
      </c>
      <c r="N20" s="291">
        <f t="shared" si="1"/>
        <v>1.7172910576454987E-2</v>
      </c>
      <c r="O20" s="38">
        <v>1060052</v>
      </c>
      <c r="P20" s="38">
        <v>24188253.409655634</v>
      </c>
      <c r="Q20" s="38">
        <v>1250000</v>
      </c>
      <c r="R20" s="38">
        <v>25438253.409655634</v>
      </c>
      <c r="S20" s="74">
        <f t="shared" si="0"/>
        <v>360848078.35850871</v>
      </c>
    </row>
    <row r="21" spans="1:19">
      <c r="A21" s="37" t="s">
        <v>44</v>
      </c>
      <c r="B21" s="38">
        <v>3016706.7257753769</v>
      </c>
      <c r="C21" s="38">
        <v>601003.74948130187</v>
      </c>
      <c r="D21" s="73"/>
      <c r="E21" s="131">
        <v>89088611</v>
      </c>
      <c r="F21" s="38">
        <v>844618</v>
      </c>
      <c r="G21" s="38">
        <v>6809493.0990770571</v>
      </c>
      <c r="H21" s="38">
        <v>21110194.336884961</v>
      </c>
      <c r="I21" s="38">
        <v>328596.04457854811</v>
      </c>
      <c r="J21" s="38">
        <v>592000</v>
      </c>
      <c r="K21" s="38">
        <v>0</v>
      </c>
      <c r="L21" s="73"/>
      <c r="M21" s="38">
        <v>39921487.378863052</v>
      </c>
      <c r="N21" s="291">
        <f t="shared" si="1"/>
        <v>4.528321357435789E-2</v>
      </c>
      <c r="O21" s="38">
        <v>2795249</v>
      </c>
      <c r="P21" s="38">
        <v>7697091.6299290517</v>
      </c>
      <c r="Q21" s="38">
        <v>1250000</v>
      </c>
      <c r="R21" s="38">
        <v>8947091.6299290508</v>
      </c>
      <c r="S21" s="74">
        <f t="shared" si="0"/>
        <v>174055051.00987259</v>
      </c>
    </row>
    <row r="22" spans="1:19">
      <c r="A22" s="37" t="s">
        <v>45</v>
      </c>
      <c r="B22" s="38">
        <v>0</v>
      </c>
      <c r="C22" s="38">
        <v>0</v>
      </c>
      <c r="D22" s="73"/>
      <c r="E22" s="131">
        <v>0</v>
      </c>
      <c r="F22" s="38">
        <v>0</v>
      </c>
      <c r="G22" s="38">
        <v>45101.94371428607</v>
      </c>
      <c r="H22" s="38">
        <v>785685.06371413625</v>
      </c>
      <c r="I22" s="38">
        <v>22342.771022191388</v>
      </c>
      <c r="J22" s="38">
        <v>0</v>
      </c>
      <c r="K22" s="38">
        <v>0</v>
      </c>
      <c r="L22" s="73"/>
      <c r="M22" s="38">
        <v>0</v>
      </c>
      <c r="N22" s="291">
        <f t="shared" si="1"/>
        <v>0</v>
      </c>
      <c r="O22" s="38">
        <v>0</v>
      </c>
      <c r="P22" s="38">
        <v>0</v>
      </c>
      <c r="Q22" s="38">
        <v>500000</v>
      </c>
      <c r="R22" s="38">
        <v>500000</v>
      </c>
      <c r="S22" s="74">
        <f t="shared" si="0"/>
        <v>1353129.7784506138</v>
      </c>
    </row>
    <row r="23" spans="1:19">
      <c r="A23" s="37" t="s">
        <v>46</v>
      </c>
      <c r="B23" s="38">
        <v>424042.65635833942</v>
      </c>
      <c r="C23" s="38">
        <v>110720.39964912497</v>
      </c>
      <c r="D23" s="73"/>
      <c r="E23" s="131">
        <v>30291553</v>
      </c>
      <c r="F23" s="38">
        <v>215672.99999999997</v>
      </c>
      <c r="G23" s="38">
        <v>1129627.9020678301</v>
      </c>
      <c r="H23" s="38">
        <v>2677512.0617882903</v>
      </c>
      <c r="I23" s="38">
        <v>93991.108107209278</v>
      </c>
      <c r="J23" s="38">
        <v>0</v>
      </c>
      <c r="K23" s="38">
        <v>0</v>
      </c>
      <c r="L23" s="73"/>
      <c r="M23" s="38">
        <v>259848.15846019445</v>
      </c>
      <c r="N23" s="291">
        <f t="shared" si="1"/>
        <v>1.3695015969213398E-2</v>
      </c>
      <c r="O23" s="38">
        <v>845368</v>
      </c>
      <c r="P23" s="38">
        <v>3755659.5344722825</v>
      </c>
      <c r="Q23" s="38">
        <v>1250000</v>
      </c>
      <c r="R23" s="38">
        <v>5005659.534472283</v>
      </c>
      <c r="S23" s="74">
        <f t="shared" si="0"/>
        <v>41053995.83459828</v>
      </c>
    </row>
    <row r="24" spans="1:19">
      <c r="A24" s="37" t="s">
        <v>47</v>
      </c>
      <c r="B24" s="38">
        <v>424042.65635833942</v>
      </c>
      <c r="C24" s="38">
        <v>110720.39964912497</v>
      </c>
      <c r="D24" s="73"/>
      <c r="E24" s="131">
        <v>10199863</v>
      </c>
      <c r="F24" s="38">
        <v>0</v>
      </c>
      <c r="G24" s="38">
        <v>1354897.0476580921</v>
      </c>
      <c r="H24" s="38">
        <v>7648873.8574841172</v>
      </c>
      <c r="I24" s="38">
        <v>124652.06396665343</v>
      </c>
      <c r="J24" s="38">
        <v>0</v>
      </c>
      <c r="K24" s="38">
        <v>1035415.9999999999</v>
      </c>
      <c r="L24" s="73"/>
      <c r="M24" s="38">
        <v>0</v>
      </c>
      <c r="N24" s="291">
        <f t="shared" si="1"/>
        <v>0</v>
      </c>
      <c r="O24" s="38">
        <v>0</v>
      </c>
      <c r="P24" s="38">
        <v>1093910.6152590867</v>
      </c>
      <c r="Q24" s="38">
        <v>1250000</v>
      </c>
      <c r="R24" s="38">
        <v>2343910.6152590867</v>
      </c>
      <c r="S24" s="74">
        <f t="shared" si="0"/>
        <v>23242375.640375413</v>
      </c>
    </row>
    <row r="25" spans="1:19">
      <c r="A25" s="37" t="s">
        <v>122</v>
      </c>
      <c r="B25" s="38">
        <v>5057190.4306892706</v>
      </c>
      <c r="C25" s="38">
        <v>973546.33018587239</v>
      </c>
      <c r="D25" s="73"/>
      <c r="E25" s="131">
        <v>266392690</v>
      </c>
      <c r="F25" s="38">
        <v>1716914.0000000002</v>
      </c>
      <c r="G25" s="38">
        <v>9737400.0424648523</v>
      </c>
      <c r="H25" s="38">
        <v>16103763.333199993</v>
      </c>
      <c r="I25" s="38">
        <v>266611.2090592889</v>
      </c>
      <c r="J25" s="38">
        <v>0</v>
      </c>
      <c r="K25" s="38">
        <v>0</v>
      </c>
      <c r="L25" s="73"/>
      <c r="M25" s="38">
        <v>219561172.05210391</v>
      </c>
      <c r="N25" s="291">
        <f t="shared" si="1"/>
        <v>0</v>
      </c>
      <c r="O25" s="38">
        <v>0</v>
      </c>
      <c r="P25" s="38">
        <v>15963890.570788223</v>
      </c>
      <c r="Q25" s="38">
        <v>1250000</v>
      </c>
      <c r="R25" s="38">
        <v>17213890.570788223</v>
      </c>
      <c r="S25" s="74">
        <f t="shared" si="0"/>
        <v>537023177.96849132</v>
      </c>
    </row>
    <row r="26" spans="1:19">
      <c r="A26" s="37" t="s">
        <v>48</v>
      </c>
      <c r="B26" s="38">
        <v>1724643.1295689682</v>
      </c>
      <c r="C26" s="38">
        <v>364020.12473709584</v>
      </c>
      <c r="D26" s="73"/>
      <c r="E26" s="131">
        <v>55787469</v>
      </c>
      <c r="F26" s="38">
        <v>0</v>
      </c>
      <c r="G26" s="38">
        <v>5288722.4782456765</v>
      </c>
      <c r="H26" s="38">
        <v>15875024.623801569</v>
      </c>
      <c r="I26" s="38">
        <v>272724.51517724647</v>
      </c>
      <c r="J26" s="38">
        <v>0</v>
      </c>
      <c r="K26" s="38">
        <v>0</v>
      </c>
      <c r="L26" s="73"/>
      <c r="M26" s="38">
        <v>2325155.8021678794</v>
      </c>
      <c r="N26" s="291">
        <f t="shared" si="1"/>
        <v>0</v>
      </c>
      <c r="O26" s="38">
        <v>0</v>
      </c>
      <c r="P26" s="38">
        <v>4734164.4417378409</v>
      </c>
      <c r="Q26" s="38">
        <v>1250000</v>
      </c>
      <c r="R26" s="38">
        <v>5984164.4417378409</v>
      </c>
      <c r="S26" s="74">
        <f t="shared" si="0"/>
        <v>87621924.115436286</v>
      </c>
    </row>
    <row r="27" spans="1:19">
      <c r="A27" s="37" t="s">
        <v>49</v>
      </c>
      <c r="B27" s="38">
        <v>461148.52748528472</v>
      </c>
      <c r="C27" s="38">
        <v>120400.83477606838</v>
      </c>
      <c r="D27" s="73"/>
      <c r="E27" s="131">
        <v>20061889</v>
      </c>
      <c r="F27" s="38">
        <v>0</v>
      </c>
      <c r="G27" s="38">
        <v>2387510.151714317</v>
      </c>
      <c r="H27" s="38">
        <v>12137361.018096196</v>
      </c>
      <c r="I27" s="38">
        <v>203903.09544358985</v>
      </c>
      <c r="J27" s="38">
        <v>0</v>
      </c>
      <c r="K27" s="38">
        <v>0</v>
      </c>
      <c r="L27" s="73"/>
      <c r="M27" s="38">
        <v>0</v>
      </c>
      <c r="N27" s="291">
        <f t="shared" si="1"/>
        <v>0</v>
      </c>
      <c r="O27" s="38">
        <v>0</v>
      </c>
      <c r="P27" s="38">
        <v>2003766.8879765726</v>
      </c>
      <c r="Q27" s="38">
        <v>1250000</v>
      </c>
      <c r="R27" s="38">
        <v>3253766.8879765728</v>
      </c>
      <c r="S27" s="74">
        <f t="shared" si="0"/>
        <v>38625979.515492029</v>
      </c>
    </row>
    <row r="28" spans="1:19">
      <c r="A28" s="37" t="s">
        <v>50</v>
      </c>
      <c r="B28" s="38">
        <v>625221.29526391241</v>
      </c>
      <c r="C28" s="38">
        <v>135815.10327026373</v>
      </c>
      <c r="D28" s="73"/>
      <c r="E28" s="131">
        <v>17618188</v>
      </c>
      <c r="F28" s="38">
        <v>0</v>
      </c>
      <c r="G28" s="38">
        <v>2106516.9167972747</v>
      </c>
      <c r="H28" s="38">
        <v>10932979.367893701</v>
      </c>
      <c r="I28" s="38">
        <v>175759.49780405627</v>
      </c>
      <c r="J28" s="38">
        <v>0</v>
      </c>
      <c r="K28" s="38">
        <v>89597</v>
      </c>
      <c r="L28" s="73"/>
      <c r="M28" s="38">
        <v>0</v>
      </c>
      <c r="N28" s="291">
        <f t="shared" si="1"/>
        <v>0</v>
      </c>
      <c r="O28" s="38">
        <v>0</v>
      </c>
      <c r="P28" s="38">
        <v>1787123.2179554587</v>
      </c>
      <c r="Q28" s="38">
        <v>1250000</v>
      </c>
      <c r="R28" s="38">
        <v>3037123.2179554589</v>
      </c>
      <c r="S28" s="74">
        <f t="shared" si="0"/>
        <v>34721200.398984671</v>
      </c>
    </row>
    <row r="29" spans="1:19">
      <c r="A29" s="37" t="s">
        <v>51</v>
      </c>
      <c r="B29" s="38">
        <v>698259.24179827608</v>
      </c>
      <c r="C29" s="38">
        <v>168748.88116793882</v>
      </c>
      <c r="D29" s="73"/>
      <c r="E29" s="131">
        <v>24724346</v>
      </c>
      <c r="F29" s="38">
        <v>0</v>
      </c>
      <c r="G29" s="38">
        <v>3412270.1950118272</v>
      </c>
      <c r="H29" s="38">
        <v>16632017.243826639</v>
      </c>
      <c r="I29" s="38">
        <v>265889.87787562545</v>
      </c>
      <c r="J29" s="38">
        <v>1764000</v>
      </c>
      <c r="K29" s="38">
        <v>0</v>
      </c>
      <c r="L29" s="73"/>
      <c r="M29" s="38">
        <v>0</v>
      </c>
      <c r="N29" s="291">
        <f t="shared" si="1"/>
        <v>0</v>
      </c>
      <c r="O29" s="38">
        <v>0</v>
      </c>
      <c r="P29" s="38">
        <v>2621131.1249331143</v>
      </c>
      <c r="Q29" s="38">
        <v>1250000</v>
      </c>
      <c r="R29" s="38">
        <v>3871131.1249331143</v>
      </c>
      <c r="S29" s="74">
        <f t="shared" si="0"/>
        <v>51536662.564613424</v>
      </c>
    </row>
    <row r="30" spans="1:19">
      <c r="A30" s="37" t="s">
        <v>52</v>
      </c>
      <c r="B30" s="38">
        <v>1010415.2922744494</v>
      </c>
      <c r="C30" s="38">
        <v>263808.53094919189</v>
      </c>
      <c r="D30" s="73"/>
      <c r="E30" s="131">
        <v>33940052</v>
      </c>
      <c r="F30" s="38">
        <v>289012</v>
      </c>
      <c r="G30" s="38">
        <v>4025524.6637663231</v>
      </c>
      <c r="H30" s="38">
        <v>11371955.582658013</v>
      </c>
      <c r="I30" s="38">
        <v>201970.78451299341</v>
      </c>
      <c r="J30" s="38">
        <v>0</v>
      </c>
      <c r="K30" s="38">
        <v>0</v>
      </c>
      <c r="L30" s="73"/>
      <c r="M30" s="38">
        <v>3478453.4187105824</v>
      </c>
      <c r="N30" s="291">
        <f t="shared" si="1"/>
        <v>5.7505368296312132E-3</v>
      </c>
      <c r="O30" s="38">
        <v>354970</v>
      </c>
      <c r="P30" s="38">
        <v>3443444.9893833166</v>
      </c>
      <c r="Q30" s="38">
        <v>1250000</v>
      </c>
      <c r="R30" s="38">
        <v>4693444.9893833166</v>
      </c>
      <c r="S30" s="74">
        <f t="shared" si="0"/>
        <v>59629607.268005416</v>
      </c>
    </row>
    <row r="31" spans="1:19">
      <c r="A31" s="37" t="s">
        <v>53</v>
      </c>
      <c r="B31" s="38">
        <v>424042.65635833942</v>
      </c>
      <c r="C31" s="38">
        <v>110720.39964912497</v>
      </c>
      <c r="D31" s="73"/>
      <c r="E31" s="131">
        <v>13040994</v>
      </c>
      <c r="F31" s="38">
        <v>0</v>
      </c>
      <c r="G31" s="38">
        <v>1096880.0297848219</v>
      </c>
      <c r="H31" s="38">
        <v>6838673.3004516028</v>
      </c>
      <c r="I31" s="38">
        <v>140830.90913870034</v>
      </c>
      <c r="J31" s="38">
        <v>0</v>
      </c>
      <c r="K31" s="38">
        <v>52311</v>
      </c>
      <c r="L31" s="73"/>
      <c r="M31" s="38">
        <v>6920446.8686747951</v>
      </c>
      <c r="N31" s="291">
        <f t="shared" si="1"/>
        <v>0</v>
      </c>
      <c r="O31" s="38">
        <v>0</v>
      </c>
      <c r="P31" s="38">
        <v>473265.72757963184</v>
      </c>
      <c r="Q31" s="38">
        <v>1250000</v>
      </c>
      <c r="R31" s="38">
        <v>1723265.7275796318</v>
      </c>
      <c r="S31" s="74">
        <f t="shared" si="0"/>
        <v>30348164.891637016</v>
      </c>
    </row>
    <row r="32" spans="1:19">
      <c r="A32" s="37" t="s">
        <v>54</v>
      </c>
      <c r="B32" s="38">
        <v>2386103.8755600736</v>
      </c>
      <c r="C32" s="38">
        <v>457599.91968266736</v>
      </c>
      <c r="D32" s="73"/>
      <c r="E32" s="131">
        <v>154414135</v>
      </c>
      <c r="F32" s="38">
        <v>607757</v>
      </c>
      <c r="G32" s="38">
        <v>4499992.4798620539</v>
      </c>
      <c r="H32" s="38">
        <v>5505404.322458948</v>
      </c>
      <c r="I32" s="38">
        <v>138493.64035060859</v>
      </c>
      <c r="J32" s="38">
        <v>636000</v>
      </c>
      <c r="K32" s="38">
        <v>0</v>
      </c>
      <c r="L32" s="73"/>
      <c r="M32" s="38">
        <v>52111739.859252438</v>
      </c>
      <c r="N32" s="291">
        <f t="shared" si="1"/>
        <v>0</v>
      </c>
      <c r="O32" s="38">
        <v>0</v>
      </c>
      <c r="P32" s="38">
        <v>8317202.8307184456</v>
      </c>
      <c r="Q32" s="38">
        <v>1250000</v>
      </c>
      <c r="R32" s="38">
        <v>9567202.8307184465</v>
      </c>
      <c r="S32" s="74">
        <f t="shared" si="0"/>
        <v>230324428.92788523</v>
      </c>
    </row>
    <row r="33" spans="1:19">
      <c r="A33" s="37" t="s">
        <v>55</v>
      </c>
      <c r="B33" s="38">
        <v>2837000.5906000654</v>
      </c>
      <c r="C33" s="38">
        <v>561005.13879852148</v>
      </c>
      <c r="D33" s="73"/>
      <c r="E33" s="131">
        <v>194426968</v>
      </c>
      <c r="F33" s="38">
        <v>1148683</v>
      </c>
      <c r="G33" s="38">
        <v>5810045.1266653687</v>
      </c>
      <c r="H33" s="38">
        <v>3640495.3380454807</v>
      </c>
      <c r="I33" s="38">
        <v>113510.85560359222</v>
      </c>
      <c r="J33" s="38">
        <v>0</v>
      </c>
      <c r="K33" s="38">
        <v>0</v>
      </c>
      <c r="L33" s="73"/>
      <c r="M33" s="38">
        <v>121032525.61232454</v>
      </c>
      <c r="N33" s="291">
        <f t="shared" si="1"/>
        <v>6.7713028820724417E-4</v>
      </c>
      <c r="O33" s="38">
        <v>41798</v>
      </c>
      <c r="P33" s="38">
        <v>8449729.0121254139</v>
      </c>
      <c r="Q33" s="38">
        <v>1250000</v>
      </c>
      <c r="R33" s="38">
        <v>9699729.0121254139</v>
      </c>
      <c r="S33" s="74">
        <f t="shared" si="0"/>
        <v>339311760.67484015</v>
      </c>
    </row>
    <row r="34" spans="1:19">
      <c r="A34" s="37" t="s">
        <v>56</v>
      </c>
      <c r="B34" s="38">
        <v>2975111.5833923081</v>
      </c>
      <c r="C34" s="38">
        <v>622436.99646131613</v>
      </c>
      <c r="D34" s="73"/>
      <c r="E34" s="131">
        <v>86295344</v>
      </c>
      <c r="F34" s="38">
        <v>290921</v>
      </c>
      <c r="G34" s="38">
        <v>8757609.1785393227</v>
      </c>
      <c r="H34" s="38">
        <v>20616547.303857397</v>
      </c>
      <c r="I34" s="38">
        <v>326230.54555519827</v>
      </c>
      <c r="J34" s="38">
        <v>0</v>
      </c>
      <c r="K34" s="38">
        <v>37455</v>
      </c>
      <c r="L34" s="73"/>
      <c r="M34" s="38">
        <v>1075143.846362483</v>
      </c>
      <c r="N34" s="291">
        <f t="shared" si="1"/>
        <v>0</v>
      </c>
      <c r="O34" s="38">
        <v>0</v>
      </c>
      <c r="P34" s="38">
        <v>9355415.3414172735</v>
      </c>
      <c r="Q34" s="38">
        <v>1250000</v>
      </c>
      <c r="R34" s="38">
        <v>10605415.341417274</v>
      </c>
      <c r="S34" s="74">
        <f t="shared" si="0"/>
        <v>131602214.7955853</v>
      </c>
    </row>
    <row r="35" spans="1:19">
      <c r="A35" s="37" t="s">
        <v>57</v>
      </c>
      <c r="B35" s="38">
        <v>1537443.6018892536</v>
      </c>
      <c r="C35" s="38">
        <v>291858.11127358233</v>
      </c>
      <c r="D35" s="73"/>
      <c r="E35" s="131">
        <v>59771535</v>
      </c>
      <c r="F35" s="38">
        <v>314806</v>
      </c>
      <c r="G35" s="38">
        <v>3656362.928593331</v>
      </c>
      <c r="H35" s="38">
        <v>15403643.342475083</v>
      </c>
      <c r="I35" s="38">
        <v>239547.17455428001</v>
      </c>
      <c r="J35" s="38">
        <v>0</v>
      </c>
      <c r="K35" s="38">
        <v>1624344.0000000002</v>
      </c>
      <c r="L35" s="73"/>
      <c r="M35" s="38">
        <v>6270230.8983594179</v>
      </c>
      <c r="N35" s="291">
        <f t="shared" si="1"/>
        <v>9.5142038113891311E-2</v>
      </c>
      <c r="O35" s="38">
        <v>5872942</v>
      </c>
      <c r="P35" s="38">
        <v>5350891.664531678</v>
      </c>
      <c r="Q35" s="38">
        <v>1250000</v>
      </c>
      <c r="R35" s="38">
        <v>6600891.664531678</v>
      </c>
      <c r="S35" s="74">
        <f t="shared" si="0"/>
        <v>101583604.81681865</v>
      </c>
    </row>
    <row r="36" spans="1:19">
      <c r="A36" s="37" t="s">
        <v>58</v>
      </c>
      <c r="B36" s="38">
        <v>424042.65635833942</v>
      </c>
      <c r="C36" s="38">
        <v>110720.39964912497</v>
      </c>
      <c r="D36" s="73"/>
      <c r="E36" s="131">
        <v>8375523</v>
      </c>
      <c r="F36" s="38">
        <v>0</v>
      </c>
      <c r="G36" s="38">
        <v>2067406.3383650288</v>
      </c>
      <c r="H36" s="38">
        <v>13955636.543446427</v>
      </c>
      <c r="I36" s="38">
        <v>233208.02655425775</v>
      </c>
      <c r="J36" s="38">
        <v>254000</v>
      </c>
      <c r="K36" s="38">
        <v>754708</v>
      </c>
      <c r="L36" s="73"/>
      <c r="M36" s="38">
        <v>0</v>
      </c>
      <c r="N36" s="291">
        <f t="shared" si="1"/>
        <v>0</v>
      </c>
      <c r="O36" s="38">
        <v>0</v>
      </c>
      <c r="P36" s="38">
        <v>819434.50126468798</v>
      </c>
      <c r="Q36" s="38">
        <v>1250000</v>
      </c>
      <c r="R36" s="38">
        <v>2069434.5012646881</v>
      </c>
      <c r="S36" s="74">
        <f t="shared" si="0"/>
        <v>28244679.465637866</v>
      </c>
    </row>
    <row r="37" spans="1:19">
      <c r="A37" s="37" t="s">
        <v>59</v>
      </c>
      <c r="B37" s="38">
        <v>1648888.5422633942</v>
      </c>
      <c r="C37" s="38">
        <v>321653.35967977613</v>
      </c>
      <c r="D37" s="73"/>
      <c r="E37" s="131">
        <v>48336251</v>
      </c>
      <c r="F37" s="38">
        <v>672658</v>
      </c>
      <c r="G37" s="38">
        <v>4861159.4058807874</v>
      </c>
      <c r="H37" s="38">
        <v>17466014.335471604</v>
      </c>
      <c r="I37" s="38">
        <v>268898.83157158195</v>
      </c>
      <c r="J37" s="38">
        <v>0</v>
      </c>
      <c r="K37" s="38">
        <v>0</v>
      </c>
      <c r="L37" s="73"/>
      <c r="M37" s="38">
        <v>14954066.436165752</v>
      </c>
      <c r="N37" s="291">
        <f t="shared" si="1"/>
        <v>3.1739166004489036E-4</v>
      </c>
      <c r="O37" s="38">
        <v>19592</v>
      </c>
      <c r="P37" s="38">
        <v>4521761.2093973821</v>
      </c>
      <c r="Q37" s="38">
        <v>1250000</v>
      </c>
      <c r="R37" s="38">
        <v>5771761.2093973821</v>
      </c>
      <c r="S37" s="74">
        <f t="shared" si="0"/>
        <v>94320943.120747656</v>
      </c>
    </row>
    <row r="38" spans="1:19">
      <c r="A38" s="37" t="s">
        <v>123</v>
      </c>
      <c r="B38" s="38">
        <v>424042.65635833942</v>
      </c>
      <c r="C38" s="38">
        <v>110720.39964912497</v>
      </c>
      <c r="D38" s="73"/>
      <c r="E38" s="131">
        <v>4420048</v>
      </c>
      <c r="F38" s="38">
        <v>0</v>
      </c>
      <c r="G38" s="38">
        <v>834930.99127743708</v>
      </c>
      <c r="H38" s="38">
        <v>9946253.4789270069</v>
      </c>
      <c r="I38" s="38">
        <v>120817.61925349501</v>
      </c>
      <c r="J38" s="38">
        <v>0</v>
      </c>
      <c r="K38" s="38">
        <v>1605126.0000000002</v>
      </c>
      <c r="L38" s="73"/>
      <c r="M38" s="38">
        <v>0</v>
      </c>
      <c r="N38" s="291">
        <f t="shared" si="1"/>
        <v>0</v>
      </c>
      <c r="O38" s="38">
        <v>0</v>
      </c>
      <c r="P38" s="38">
        <v>417931.99999999994</v>
      </c>
      <c r="Q38" s="38">
        <v>1250000</v>
      </c>
      <c r="R38" s="38">
        <v>1667932</v>
      </c>
      <c r="S38" s="74">
        <f t="shared" si="0"/>
        <v>19129871.145465404</v>
      </c>
    </row>
    <row r="39" spans="1:19">
      <c r="A39" s="37" t="s">
        <v>60</v>
      </c>
      <c r="B39" s="38">
        <v>0</v>
      </c>
      <c r="C39" s="38">
        <v>0</v>
      </c>
      <c r="D39" s="73"/>
      <c r="E39" s="131">
        <v>0</v>
      </c>
      <c r="F39" s="38">
        <v>0</v>
      </c>
      <c r="G39" s="38">
        <v>9413.2913378274025</v>
      </c>
      <c r="H39" s="38">
        <v>288578.04191429395</v>
      </c>
      <c r="I39" s="38">
        <v>13998.30286245696</v>
      </c>
      <c r="J39" s="38">
        <v>0</v>
      </c>
      <c r="K39" s="38">
        <v>0</v>
      </c>
      <c r="L39" s="73"/>
      <c r="M39" s="38">
        <v>0</v>
      </c>
      <c r="N39" s="291">
        <f t="shared" si="1"/>
        <v>0</v>
      </c>
      <c r="O39" s="38">
        <v>0</v>
      </c>
      <c r="P39" s="38">
        <v>0</v>
      </c>
      <c r="Q39" s="38">
        <v>500000</v>
      </c>
      <c r="R39" s="38">
        <v>500000</v>
      </c>
      <c r="S39" s="74">
        <f t="shared" si="0"/>
        <v>811989.63611457823</v>
      </c>
    </row>
    <row r="40" spans="1:19">
      <c r="A40" s="37" t="s">
        <v>61</v>
      </c>
      <c r="B40" s="38">
        <v>424042.65635833942</v>
      </c>
      <c r="C40" s="38">
        <v>110720.39964912497</v>
      </c>
      <c r="D40" s="73"/>
      <c r="E40" s="131">
        <v>11140241</v>
      </c>
      <c r="F40" s="38">
        <v>0</v>
      </c>
      <c r="G40" s="38">
        <v>1227172.7592205149</v>
      </c>
      <c r="H40" s="38">
        <v>7620799.5185713982</v>
      </c>
      <c r="I40" s="38">
        <v>130063.50802871172</v>
      </c>
      <c r="J40" s="38">
        <v>0</v>
      </c>
      <c r="K40" s="38">
        <v>467019</v>
      </c>
      <c r="L40" s="73"/>
      <c r="M40" s="38">
        <v>0</v>
      </c>
      <c r="N40" s="291">
        <f t="shared" si="1"/>
        <v>0</v>
      </c>
      <c r="O40" s="38">
        <v>0</v>
      </c>
      <c r="P40" s="38">
        <v>1221278.1501380901</v>
      </c>
      <c r="Q40" s="38">
        <v>1250000</v>
      </c>
      <c r="R40" s="38">
        <v>2471278.1501380904</v>
      </c>
      <c r="S40" s="74">
        <f t="shared" si="0"/>
        <v>23591336.991966181</v>
      </c>
    </row>
    <row r="41" spans="1:19">
      <c r="A41" s="37" t="s">
        <v>62</v>
      </c>
      <c r="B41" s="38">
        <v>1147554.4220006086</v>
      </c>
      <c r="C41" s="38">
        <v>221664.08242499223</v>
      </c>
      <c r="D41" s="73"/>
      <c r="E41" s="131">
        <v>39935338</v>
      </c>
      <c r="F41" s="38">
        <v>0</v>
      </c>
      <c r="G41" s="38">
        <v>2061356.0776228686</v>
      </c>
      <c r="H41" s="38">
        <v>6416475.7844868815</v>
      </c>
      <c r="I41" s="38">
        <v>92100.655801305838</v>
      </c>
      <c r="J41" s="38">
        <v>0</v>
      </c>
      <c r="K41" s="38">
        <v>84587</v>
      </c>
      <c r="L41" s="73"/>
      <c r="M41" s="38">
        <v>2070368.0223637528</v>
      </c>
      <c r="N41" s="291">
        <f t="shared" si="1"/>
        <v>0</v>
      </c>
      <c r="O41" s="38">
        <v>0</v>
      </c>
      <c r="P41" s="38">
        <v>3893421.5738457288</v>
      </c>
      <c r="Q41" s="38">
        <v>1250000</v>
      </c>
      <c r="R41" s="38">
        <v>5143421.5738457292</v>
      </c>
      <c r="S41" s="74">
        <f t="shared" si="0"/>
        <v>57172865.618546136</v>
      </c>
    </row>
    <row r="42" spans="1:19">
      <c r="A42" s="37" t="s">
        <v>63</v>
      </c>
      <c r="B42" s="38">
        <v>424042.65635833942</v>
      </c>
      <c r="C42" s="38">
        <v>110720.39964912497</v>
      </c>
      <c r="D42" s="73"/>
      <c r="E42" s="131">
        <v>8035052</v>
      </c>
      <c r="F42" s="38">
        <v>0</v>
      </c>
      <c r="G42" s="38">
        <v>1101918.0871954279</v>
      </c>
      <c r="H42" s="38">
        <v>3914429.589095288</v>
      </c>
      <c r="I42" s="38">
        <v>118128.93270925953</v>
      </c>
      <c r="J42" s="38">
        <v>0</v>
      </c>
      <c r="K42" s="38">
        <v>0</v>
      </c>
      <c r="L42" s="73"/>
      <c r="M42" s="38">
        <v>0</v>
      </c>
      <c r="N42" s="291">
        <f t="shared" si="1"/>
        <v>0</v>
      </c>
      <c r="O42" s="38">
        <v>0</v>
      </c>
      <c r="P42" s="38">
        <v>717452.4508128087</v>
      </c>
      <c r="Q42" s="38">
        <v>1250000</v>
      </c>
      <c r="R42" s="38">
        <v>1967452.4508128087</v>
      </c>
      <c r="S42" s="74">
        <f t="shared" ref="S42:S65" si="2">SUM(B42:Q42)</f>
        <v>15671744.11582025</v>
      </c>
    </row>
    <row r="43" spans="1:19">
      <c r="A43" s="37" t="s">
        <v>64</v>
      </c>
      <c r="B43" s="38">
        <v>4104422.4346334888</v>
      </c>
      <c r="C43" s="38">
        <v>769479.08465414087</v>
      </c>
      <c r="D43" s="73"/>
      <c r="E43" s="131">
        <v>390327123</v>
      </c>
      <c r="F43" s="38">
        <v>901431</v>
      </c>
      <c r="G43" s="38">
        <v>7135012.3000729755</v>
      </c>
      <c r="H43" s="38">
        <v>3788507.9659670782</v>
      </c>
      <c r="I43" s="38">
        <v>117233.35283210651</v>
      </c>
      <c r="J43" s="38">
        <v>0</v>
      </c>
      <c r="K43" s="38">
        <v>0</v>
      </c>
      <c r="L43" s="73"/>
      <c r="M43" s="38">
        <v>148228328.99888435</v>
      </c>
      <c r="N43" s="291">
        <f t="shared" si="1"/>
        <v>0</v>
      </c>
      <c r="O43" s="38">
        <v>0</v>
      </c>
      <c r="P43" s="38">
        <v>16641898.868657382</v>
      </c>
      <c r="Q43" s="38">
        <v>1250000</v>
      </c>
      <c r="R43" s="38">
        <v>17891898.86865738</v>
      </c>
      <c r="S43" s="74">
        <f t="shared" si="2"/>
        <v>573263437.00570142</v>
      </c>
    </row>
    <row r="44" spans="1:19">
      <c r="A44" s="37" t="s">
        <v>65</v>
      </c>
      <c r="B44" s="38">
        <v>424042.65635833942</v>
      </c>
      <c r="C44" s="38">
        <v>110720.39964912497</v>
      </c>
      <c r="D44" s="73"/>
      <c r="E44" s="131">
        <v>23784591</v>
      </c>
      <c r="F44" s="38">
        <v>0</v>
      </c>
      <c r="G44" s="38">
        <v>1718415.7991690761</v>
      </c>
      <c r="H44" s="38">
        <v>10280268.712502176</v>
      </c>
      <c r="I44" s="38">
        <v>138633.81807051081</v>
      </c>
      <c r="J44" s="38">
        <v>0</v>
      </c>
      <c r="K44" s="38">
        <v>601850</v>
      </c>
      <c r="L44" s="73"/>
      <c r="M44" s="38">
        <v>3819252.5701527931</v>
      </c>
      <c r="N44" s="291">
        <f t="shared" si="1"/>
        <v>0</v>
      </c>
      <c r="O44" s="38">
        <v>0</v>
      </c>
      <c r="P44" s="38">
        <v>1682364.3441625636</v>
      </c>
      <c r="Q44" s="38">
        <v>1250000</v>
      </c>
      <c r="R44" s="38">
        <v>2932364.3441625638</v>
      </c>
      <c r="S44" s="74">
        <f t="shared" si="2"/>
        <v>43810139.300064571</v>
      </c>
    </row>
    <row r="45" spans="1:19">
      <c r="A45" s="37" t="s">
        <v>66</v>
      </c>
      <c r="B45" s="38">
        <v>7751049.6175194262</v>
      </c>
      <c r="C45" s="38">
        <v>1519823.4819620037</v>
      </c>
      <c r="D45" s="73"/>
      <c r="E45" s="131">
        <v>646558585</v>
      </c>
      <c r="F45" s="38">
        <v>2345914</v>
      </c>
      <c r="G45" s="38">
        <v>15671880.295854315</v>
      </c>
      <c r="H45" s="38">
        <v>20479445.872852013</v>
      </c>
      <c r="I45" s="38">
        <v>329115.87028985214</v>
      </c>
      <c r="J45" s="38">
        <v>200000</v>
      </c>
      <c r="K45" s="38">
        <v>56906</v>
      </c>
      <c r="L45" s="73"/>
      <c r="M45" s="38">
        <v>607132914.64950466</v>
      </c>
      <c r="N45" s="291">
        <f t="shared" si="1"/>
        <v>9.6663580554414805E-2</v>
      </c>
      <c r="O45" s="38">
        <v>5966864</v>
      </c>
      <c r="P45" s="38">
        <v>32895385.337763827</v>
      </c>
      <c r="Q45" s="38">
        <v>1250000</v>
      </c>
      <c r="R45" s="38">
        <v>34145385.337763831</v>
      </c>
      <c r="S45" s="74">
        <f t="shared" si="2"/>
        <v>1342157884.2224095</v>
      </c>
    </row>
    <row r="46" spans="1:19">
      <c r="A46" s="37" t="s">
        <v>67</v>
      </c>
      <c r="B46" s="38">
        <v>2088500.9025217646</v>
      </c>
      <c r="C46" s="38">
        <v>496494.68044882576</v>
      </c>
      <c r="D46" s="73"/>
      <c r="E46" s="131">
        <v>66720821</v>
      </c>
      <c r="F46" s="38">
        <v>339846</v>
      </c>
      <c r="G46" s="38">
        <v>7207490.6504616952</v>
      </c>
      <c r="H46" s="38">
        <v>26415743.117402375</v>
      </c>
      <c r="I46" s="38">
        <v>403705.99258004007</v>
      </c>
      <c r="J46" s="38">
        <v>1450000</v>
      </c>
      <c r="K46" s="38">
        <v>562919</v>
      </c>
      <c r="L46" s="73"/>
      <c r="M46" s="38">
        <v>575147.82627313957</v>
      </c>
      <c r="N46" s="291">
        <f t="shared" si="1"/>
        <v>5.5604776750963697E-3</v>
      </c>
      <c r="O46" s="38">
        <v>343238</v>
      </c>
      <c r="P46" s="38">
        <v>6905965.7820273256</v>
      </c>
      <c r="Q46" s="38">
        <v>1250000</v>
      </c>
      <c r="R46" s="38">
        <v>8155965.7820273256</v>
      </c>
      <c r="S46" s="74">
        <f t="shared" si="2"/>
        <v>114759872.95727563</v>
      </c>
    </row>
    <row r="47" spans="1:19">
      <c r="A47" s="37" t="s">
        <v>68</v>
      </c>
      <c r="B47" s="38">
        <v>424042.65635833942</v>
      </c>
      <c r="C47" s="38">
        <v>110720.39964912497</v>
      </c>
      <c r="D47" s="73"/>
      <c r="E47" s="131">
        <v>4933104</v>
      </c>
      <c r="F47" s="38">
        <v>0</v>
      </c>
      <c r="G47" s="38">
        <v>576409.86819466494</v>
      </c>
      <c r="H47" s="38">
        <v>5104764.5835807184</v>
      </c>
      <c r="I47" s="38">
        <v>95202.087854142257</v>
      </c>
      <c r="J47" s="38">
        <v>0</v>
      </c>
      <c r="K47" s="38">
        <v>728325</v>
      </c>
      <c r="L47" s="73"/>
      <c r="M47" s="38">
        <v>0</v>
      </c>
      <c r="N47" s="291">
        <f t="shared" si="1"/>
        <v>0</v>
      </c>
      <c r="O47" s="38">
        <v>0</v>
      </c>
      <c r="P47" s="38">
        <v>466604.99999999994</v>
      </c>
      <c r="Q47" s="38">
        <v>1250000</v>
      </c>
      <c r="R47" s="38">
        <v>1716605</v>
      </c>
      <c r="S47" s="74">
        <f t="shared" si="2"/>
        <v>13689173.595636988</v>
      </c>
    </row>
    <row r="48" spans="1:19">
      <c r="A48" s="37" t="s">
        <v>124</v>
      </c>
      <c r="B48" s="38">
        <v>3440254.0005503898</v>
      </c>
      <c r="C48" s="38">
        <v>714901.34236679843</v>
      </c>
      <c r="D48" s="73"/>
      <c r="E48" s="131">
        <v>101850745</v>
      </c>
      <c r="F48" s="38">
        <v>551163</v>
      </c>
      <c r="G48" s="38">
        <v>9890032.1193925105</v>
      </c>
      <c r="H48" s="38">
        <v>22744459.3713293</v>
      </c>
      <c r="I48" s="38">
        <v>379901.09006275755</v>
      </c>
      <c r="J48" s="38">
        <v>964000</v>
      </c>
      <c r="K48" s="38">
        <v>0</v>
      </c>
      <c r="L48" s="73"/>
      <c r="M48" s="38">
        <v>22499154.759157147</v>
      </c>
      <c r="N48" s="291">
        <f t="shared" si="1"/>
        <v>1.159062761479163E-2</v>
      </c>
      <c r="O48" s="38">
        <v>715468</v>
      </c>
      <c r="P48" s="38">
        <v>9852757.0636399314</v>
      </c>
      <c r="Q48" s="38">
        <v>1250000</v>
      </c>
      <c r="R48" s="38">
        <v>11102757.063639931</v>
      </c>
      <c r="S48" s="74">
        <f t="shared" si="2"/>
        <v>174852835.75808948</v>
      </c>
    </row>
    <row r="49" spans="1:19">
      <c r="A49" s="37" t="s">
        <v>69</v>
      </c>
      <c r="B49" s="38">
        <v>624174.82653769001</v>
      </c>
      <c r="C49" s="38">
        <v>162965.75152595155</v>
      </c>
      <c r="D49" s="73"/>
      <c r="E49" s="131">
        <v>17682054</v>
      </c>
      <c r="F49" s="38">
        <v>0</v>
      </c>
      <c r="G49" s="38">
        <v>2889458.190210796</v>
      </c>
      <c r="H49" s="38">
        <v>14702029.515327854</v>
      </c>
      <c r="I49" s="38">
        <v>224188.95311749395</v>
      </c>
      <c r="J49" s="38">
        <v>0</v>
      </c>
      <c r="K49" s="38">
        <v>7799238</v>
      </c>
      <c r="L49" s="73"/>
      <c r="M49" s="38">
        <v>0</v>
      </c>
      <c r="N49" s="291">
        <f t="shared" si="1"/>
        <v>0</v>
      </c>
      <c r="O49" s="38">
        <v>0</v>
      </c>
      <c r="P49" s="38">
        <v>1837755.8399479333</v>
      </c>
      <c r="Q49" s="38">
        <v>1250000</v>
      </c>
      <c r="R49" s="38">
        <v>3087755.8399479333</v>
      </c>
      <c r="S49" s="74">
        <f t="shared" si="2"/>
        <v>47171865.076667719</v>
      </c>
    </row>
    <row r="50" spans="1:19">
      <c r="A50" s="37" t="s">
        <v>70</v>
      </c>
      <c r="B50" s="38">
        <v>1105694.6782095789</v>
      </c>
      <c r="C50" s="38">
        <v>227088.60583312064</v>
      </c>
      <c r="D50" s="73"/>
      <c r="E50" s="131">
        <v>51885357</v>
      </c>
      <c r="F50" s="38">
        <v>721848</v>
      </c>
      <c r="G50" s="38">
        <v>3288130.5438164701</v>
      </c>
      <c r="H50" s="38">
        <v>11926948.765822621</v>
      </c>
      <c r="I50" s="38">
        <v>177024.99110872901</v>
      </c>
      <c r="J50" s="38">
        <v>0</v>
      </c>
      <c r="K50" s="38">
        <v>756754</v>
      </c>
      <c r="L50" s="73"/>
      <c r="M50" s="38">
        <v>17832339.276823506</v>
      </c>
      <c r="N50" s="291">
        <f t="shared" si="1"/>
        <v>1.4750320558772618E-3</v>
      </c>
      <c r="O50" s="38">
        <v>91051</v>
      </c>
      <c r="P50" s="38">
        <v>4698625.7405009521</v>
      </c>
      <c r="Q50" s="38">
        <v>1250000</v>
      </c>
      <c r="R50" s="38">
        <v>5948625.7405009521</v>
      </c>
      <c r="S50" s="74">
        <f t="shared" si="2"/>
        <v>93960862.603590026</v>
      </c>
    </row>
    <row r="51" spans="1:19">
      <c r="A51" s="37" t="s">
        <v>71</v>
      </c>
      <c r="B51" s="38">
        <v>4132233.4352491968</v>
      </c>
      <c r="C51" s="38">
        <v>851800.96368123894</v>
      </c>
      <c r="D51" s="73"/>
      <c r="E51" s="131">
        <v>177810113</v>
      </c>
      <c r="F51" s="38">
        <v>1437912</v>
      </c>
      <c r="G51" s="38">
        <v>11836716.739705419</v>
      </c>
      <c r="H51" s="38">
        <v>21472389.756071225</v>
      </c>
      <c r="I51" s="38">
        <v>357985.66639499023</v>
      </c>
      <c r="J51" s="38">
        <v>4788000</v>
      </c>
      <c r="K51" s="38">
        <v>0</v>
      </c>
      <c r="L51" s="73"/>
      <c r="M51" s="38">
        <v>149751346.6410526</v>
      </c>
      <c r="N51" s="291">
        <f t="shared" si="1"/>
        <v>3.7674221566659618E-3</v>
      </c>
      <c r="O51" s="38">
        <v>232556</v>
      </c>
      <c r="P51" s="38">
        <v>13444770.703708097</v>
      </c>
      <c r="Q51" s="38">
        <v>1250000</v>
      </c>
      <c r="R51" s="38">
        <v>14694770.703708097</v>
      </c>
      <c r="S51" s="74">
        <f t="shared" si="2"/>
        <v>387365824.90963018</v>
      </c>
    </row>
    <row r="52" spans="1:19">
      <c r="A52" s="37" t="s">
        <v>72</v>
      </c>
      <c r="B52" s="38">
        <v>1568389.0349729527</v>
      </c>
      <c r="C52" s="38">
        <v>320696.43199373782</v>
      </c>
      <c r="D52" s="73"/>
      <c r="E52" s="131">
        <v>46496398</v>
      </c>
      <c r="F52" s="38">
        <v>302275</v>
      </c>
      <c r="G52" s="38">
        <v>5083875.0838949988</v>
      </c>
      <c r="H52" s="38">
        <v>1928524.8472429735</v>
      </c>
      <c r="I52" s="38">
        <v>90635.60393705008</v>
      </c>
      <c r="J52" s="38">
        <v>0</v>
      </c>
      <c r="K52" s="38">
        <v>0</v>
      </c>
      <c r="L52" s="73"/>
      <c r="M52" s="38">
        <v>6418303.2356948843</v>
      </c>
      <c r="N52" s="291">
        <f t="shared" si="1"/>
        <v>0</v>
      </c>
      <c r="O52" s="38">
        <v>0</v>
      </c>
      <c r="P52" s="38">
        <v>4551525.6055083154</v>
      </c>
      <c r="Q52" s="38">
        <v>500000</v>
      </c>
      <c r="R52" s="38">
        <v>5051525.6055083154</v>
      </c>
      <c r="S52" s="74">
        <f t="shared" si="2"/>
        <v>67260622.84324491</v>
      </c>
    </row>
    <row r="53" spans="1:19">
      <c r="A53" s="37" t="s">
        <v>125</v>
      </c>
      <c r="B53" s="38">
        <v>508177.94615290908</v>
      </c>
      <c r="C53" s="38">
        <v>110720.39964912497</v>
      </c>
      <c r="D53" s="73"/>
      <c r="E53" s="131">
        <v>27684887</v>
      </c>
      <c r="F53" s="38">
        <v>0</v>
      </c>
      <c r="G53" s="38">
        <v>963053.57274192758</v>
      </c>
      <c r="H53" s="38">
        <v>784471.82089788327</v>
      </c>
      <c r="I53" s="38">
        <v>71223.910099758417</v>
      </c>
      <c r="J53" s="38">
        <v>0</v>
      </c>
      <c r="K53" s="38">
        <v>0</v>
      </c>
      <c r="L53" s="73"/>
      <c r="M53" s="38">
        <v>3719113.1512911152</v>
      </c>
      <c r="N53" s="291">
        <f t="shared" si="1"/>
        <v>0</v>
      </c>
      <c r="O53" s="38">
        <v>0</v>
      </c>
      <c r="P53" s="38">
        <v>1279128.9176558573</v>
      </c>
      <c r="Q53" s="38">
        <v>1250000</v>
      </c>
      <c r="R53" s="38">
        <v>2529128.9176558573</v>
      </c>
      <c r="S53" s="74">
        <f t="shared" si="2"/>
        <v>36370776.718488581</v>
      </c>
    </row>
    <row r="54" spans="1:19">
      <c r="A54" s="37" t="s">
        <v>73</v>
      </c>
      <c r="B54" s="38">
        <v>948518.45765424008</v>
      </c>
      <c r="C54" s="38">
        <v>244798.53418018579</v>
      </c>
      <c r="D54" s="73"/>
      <c r="E54" s="131">
        <v>24593600</v>
      </c>
      <c r="F54" s="38">
        <v>0</v>
      </c>
      <c r="G54" s="38">
        <v>3977784.4030842879</v>
      </c>
      <c r="H54" s="38">
        <v>12779222.386904523</v>
      </c>
      <c r="I54" s="38">
        <v>225101.08175324654</v>
      </c>
      <c r="J54" s="38">
        <v>200000</v>
      </c>
      <c r="K54" s="38">
        <v>99433.000000000015</v>
      </c>
      <c r="L54" s="73"/>
      <c r="M54" s="38">
        <v>0</v>
      </c>
      <c r="N54" s="291">
        <f t="shared" si="1"/>
        <v>0</v>
      </c>
      <c r="O54" s="38">
        <v>0</v>
      </c>
      <c r="P54" s="38">
        <v>2511592.2532063727</v>
      </c>
      <c r="Q54" s="38">
        <v>1250000</v>
      </c>
      <c r="R54" s="38">
        <v>3761592.2532063727</v>
      </c>
      <c r="S54" s="74">
        <f t="shared" si="2"/>
        <v>46830050.116782852</v>
      </c>
    </row>
    <row r="55" spans="1:19">
      <c r="A55" s="37" t="s">
        <v>74</v>
      </c>
      <c r="B55" s="38">
        <v>424042.65635833942</v>
      </c>
      <c r="C55" s="38">
        <v>110720.39964912497</v>
      </c>
      <c r="D55" s="73"/>
      <c r="E55" s="131">
        <v>3915469</v>
      </c>
      <c r="F55" s="38">
        <v>0</v>
      </c>
      <c r="G55" s="38">
        <v>644080.7518725713</v>
      </c>
      <c r="H55" s="38">
        <v>6380235.2729393318</v>
      </c>
      <c r="I55" s="38">
        <v>108420.65214964318</v>
      </c>
      <c r="J55" s="38">
        <v>0</v>
      </c>
      <c r="K55" s="38">
        <v>2258062</v>
      </c>
      <c r="L55" s="73"/>
      <c r="M55" s="38">
        <v>0</v>
      </c>
      <c r="N55" s="291">
        <f t="shared" si="1"/>
        <v>0</v>
      </c>
      <c r="O55" s="38">
        <v>0</v>
      </c>
      <c r="P55" s="38">
        <v>409584.99999999988</v>
      </c>
      <c r="Q55" s="38">
        <v>1250000</v>
      </c>
      <c r="R55" s="38">
        <v>1659585</v>
      </c>
      <c r="S55" s="74">
        <f t="shared" si="2"/>
        <v>15500615.732969012</v>
      </c>
    </row>
    <row r="56" spans="1:19">
      <c r="A56" s="37" t="s">
        <v>75</v>
      </c>
      <c r="B56" s="38">
        <v>1395131.8130600939</v>
      </c>
      <c r="C56" s="38">
        <v>327408.45810671779</v>
      </c>
      <c r="D56" s="73"/>
      <c r="E56" s="131">
        <v>49153039</v>
      </c>
      <c r="F56" s="38">
        <v>310293</v>
      </c>
      <c r="G56" s="38">
        <v>5359401.0233022552</v>
      </c>
      <c r="H56" s="38">
        <v>18431785.573821779</v>
      </c>
      <c r="I56" s="38">
        <v>292360.10398382641</v>
      </c>
      <c r="J56" s="38">
        <v>1110000</v>
      </c>
      <c r="K56" s="38">
        <v>0</v>
      </c>
      <c r="L56" s="73"/>
      <c r="M56" s="38">
        <v>3727024.5236876975</v>
      </c>
      <c r="N56" s="291">
        <f t="shared" si="1"/>
        <v>0</v>
      </c>
      <c r="O56" s="38">
        <v>0</v>
      </c>
      <c r="P56" s="38">
        <v>4057730.3414898459</v>
      </c>
      <c r="Q56" s="38">
        <v>1250000</v>
      </c>
      <c r="R56" s="38">
        <v>5307730.3414898459</v>
      </c>
      <c r="S56" s="74">
        <f t="shared" si="2"/>
        <v>85414173.837452203</v>
      </c>
    </row>
    <row r="57" spans="1:19">
      <c r="A57" s="37" t="s">
        <v>76</v>
      </c>
      <c r="B57" s="38">
        <v>8973292.2632566821</v>
      </c>
      <c r="C57" s="38">
        <v>1797808.0749752747</v>
      </c>
      <c r="D57" s="73"/>
      <c r="E57" s="131">
        <v>284502134</v>
      </c>
      <c r="F57" s="38">
        <v>915220</v>
      </c>
      <c r="G57" s="38">
        <v>18017114.48771197</v>
      </c>
      <c r="H57" s="38">
        <v>40878621.004740953</v>
      </c>
      <c r="I57" s="38">
        <v>553632.87821017276</v>
      </c>
      <c r="J57" s="38">
        <v>0</v>
      </c>
      <c r="K57" s="38">
        <v>0</v>
      </c>
      <c r="L57" s="73"/>
      <c r="M57" s="38">
        <v>23152221.78385064</v>
      </c>
      <c r="N57" s="291">
        <f t="shared" si="1"/>
        <v>0.12499482002943552</v>
      </c>
      <c r="O57" s="38">
        <v>7715699</v>
      </c>
      <c r="P57" s="38">
        <v>27836668.978549033</v>
      </c>
      <c r="Q57" s="38">
        <v>1250000</v>
      </c>
      <c r="R57" s="38">
        <v>29086668.978549033</v>
      </c>
      <c r="S57" s="74">
        <f t="shared" si="2"/>
        <v>415592412.59628963</v>
      </c>
    </row>
    <row r="58" spans="1:19">
      <c r="A58" s="37" t="s">
        <v>77</v>
      </c>
      <c r="B58" s="38">
        <v>976943.21416736161</v>
      </c>
      <c r="C58" s="38">
        <v>212860.34771343949</v>
      </c>
      <c r="D58" s="73"/>
      <c r="E58" s="131">
        <v>48590733</v>
      </c>
      <c r="F58" s="38">
        <v>469576</v>
      </c>
      <c r="G58" s="38">
        <v>1695560.3677299565</v>
      </c>
      <c r="H58" s="38">
        <v>6240878.1089940984</v>
      </c>
      <c r="I58" s="38">
        <v>104452.84391130002</v>
      </c>
      <c r="J58" s="38">
        <v>0</v>
      </c>
      <c r="K58" s="38">
        <v>90855</v>
      </c>
      <c r="L58" s="73"/>
      <c r="M58" s="38">
        <v>6816578.0981255928</v>
      </c>
      <c r="N58" s="291">
        <f t="shared" si="1"/>
        <v>1.391979186157369E-2</v>
      </c>
      <c r="O58" s="38">
        <v>859243</v>
      </c>
      <c r="P58" s="38">
        <v>3384990.5874088011</v>
      </c>
      <c r="Q58" s="38">
        <v>1250000</v>
      </c>
      <c r="R58" s="38">
        <v>4634990.5874088015</v>
      </c>
      <c r="S58" s="74">
        <f t="shared" si="2"/>
        <v>70692670.581970334</v>
      </c>
    </row>
    <row r="59" spans="1:19">
      <c r="A59" s="37" t="s">
        <v>126</v>
      </c>
      <c r="B59" s="38">
        <v>424042.65635833942</v>
      </c>
      <c r="C59" s="38">
        <v>110720.39964912497</v>
      </c>
      <c r="D59" s="73"/>
      <c r="E59" s="131">
        <v>2406753</v>
      </c>
      <c r="F59" s="38">
        <v>0</v>
      </c>
      <c r="G59" s="38">
        <v>452701.45155476307</v>
      </c>
      <c r="H59" s="38">
        <v>3460899.4533047322</v>
      </c>
      <c r="I59" s="38">
        <v>104180.27612260127</v>
      </c>
      <c r="J59" s="38">
        <v>0</v>
      </c>
      <c r="K59" s="38">
        <v>0</v>
      </c>
      <c r="L59" s="73"/>
      <c r="M59" s="38">
        <v>0</v>
      </c>
      <c r="N59" s="291">
        <f t="shared" si="1"/>
        <v>0</v>
      </c>
      <c r="O59" s="38">
        <v>0</v>
      </c>
      <c r="P59" s="38">
        <v>161287.99999999997</v>
      </c>
      <c r="Q59" s="38">
        <v>1250000</v>
      </c>
      <c r="R59" s="38">
        <v>1411288</v>
      </c>
      <c r="S59" s="74">
        <f t="shared" si="2"/>
        <v>8370585.2369895615</v>
      </c>
    </row>
    <row r="60" spans="1:19">
      <c r="A60" s="37" t="s">
        <v>127</v>
      </c>
      <c r="B60" s="38">
        <v>0</v>
      </c>
      <c r="C60" s="38">
        <v>0</v>
      </c>
      <c r="D60" s="73"/>
      <c r="E60" s="131">
        <v>1069914</v>
      </c>
      <c r="F60" s="38">
        <v>0</v>
      </c>
      <c r="G60" s="38">
        <v>157088.16733402808</v>
      </c>
      <c r="H60" s="38">
        <v>0</v>
      </c>
      <c r="I60" s="38">
        <v>0</v>
      </c>
      <c r="J60" s="38">
        <v>0</v>
      </c>
      <c r="K60" s="38">
        <v>0</v>
      </c>
      <c r="L60" s="73"/>
      <c r="M60" s="38">
        <v>0</v>
      </c>
      <c r="N60" s="291">
        <f t="shared" si="1"/>
        <v>0</v>
      </c>
      <c r="O60" s="38">
        <v>0</v>
      </c>
      <c r="P60" s="38">
        <v>116780.99999999999</v>
      </c>
      <c r="Q60" s="38">
        <v>500000</v>
      </c>
      <c r="R60" s="38">
        <v>616781</v>
      </c>
      <c r="S60" s="74">
        <f t="shared" si="2"/>
        <v>1843783.1673340281</v>
      </c>
    </row>
    <row r="61" spans="1:19">
      <c r="A61" s="37" t="s">
        <v>78</v>
      </c>
      <c r="B61" s="38">
        <v>2611116.5360248554</v>
      </c>
      <c r="C61" s="38">
        <v>529820.89535713871</v>
      </c>
      <c r="D61" s="73"/>
      <c r="E61" s="131">
        <v>123359294</v>
      </c>
      <c r="F61" s="38">
        <v>256294.00000000003</v>
      </c>
      <c r="G61" s="38">
        <v>5881907.5702931723</v>
      </c>
      <c r="H61" s="38">
        <v>14958748.699585725</v>
      </c>
      <c r="I61" s="38">
        <v>254508.22578467644</v>
      </c>
      <c r="J61" s="38">
        <v>1150000</v>
      </c>
      <c r="K61" s="38">
        <v>0</v>
      </c>
      <c r="L61" s="73"/>
      <c r="M61" s="38">
        <v>324862.04269899259</v>
      </c>
      <c r="N61" s="291">
        <f t="shared" si="1"/>
        <v>2.1109947406491202E-2</v>
      </c>
      <c r="O61" s="38">
        <v>1303078</v>
      </c>
      <c r="P61" s="38">
        <v>9354598.2475048248</v>
      </c>
      <c r="Q61" s="38">
        <v>1250000</v>
      </c>
      <c r="R61" s="38">
        <v>10604598.247504825</v>
      </c>
      <c r="S61" s="74">
        <f t="shared" si="2"/>
        <v>161234228.23835933</v>
      </c>
    </row>
    <row r="62" spans="1:19">
      <c r="A62" s="37" t="s">
        <v>79</v>
      </c>
      <c r="B62" s="38">
        <v>2373326.4128335277</v>
      </c>
      <c r="C62" s="38">
        <v>478342.05222276505</v>
      </c>
      <c r="D62" s="73"/>
      <c r="E62" s="131">
        <v>140081640</v>
      </c>
      <c r="F62" s="38">
        <v>548124</v>
      </c>
      <c r="G62" s="38">
        <v>5724192.5156887146</v>
      </c>
      <c r="H62" s="38">
        <v>12425770.304425348</v>
      </c>
      <c r="I62" s="38">
        <v>196439.60531518533</v>
      </c>
      <c r="J62" s="38">
        <v>0</v>
      </c>
      <c r="K62" s="38">
        <v>1840331</v>
      </c>
      <c r="L62" s="73"/>
      <c r="M62" s="38">
        <v>41345430.813452728</v>
      </c>
      <c r="N62" s="291">
        <f t="shared" si="1"/>
        <v>0.20816998403483661</v>
      </c>
      <c r="O62" s="38">
        <v>12849948</v>
      </c>
      <c r="P62" s="38">
        <v>12655403.32532268</v>
      </c>
      <c r="Q62" s="38">
        <v>1250000</v>
      </c>
      <c r="R62" s="38">
        <v>13905403.32532268</v>
      </c>
      <c r="S62" s="74">
        <f t="shared" si="2"/>
        <v>231768948.23743096</v>
      </c>
    </row>
    <row r="63" spans="1:19">
      <c r="A63" s="37" t="s">
        <v>80</v>
      </c>
      <c r="B63" s="38">
        <v>424042.65635833942</v>
      </c>
      <c r="C63" s="38">
        <v>110720.39964912497</v>
      </c>
      <c r="D63" s="73"/>
      <c r="E63" s="131">
        <v>9341639</v>
      </c>
      <c r="F63" s="38">
        <v>238346</v>
      </c>
      <c r="G63" s="38">
        <v>2014422.3852760361</v>
      </c>
      <c r="H63" s="38">
        <v>7683530.6627711086</v>
      </c>
      <c r="I63" s="38">
        <v>161205.35134393151</v>
      </c>
      <c r="J63" s="38">
        <v>1892000</v>
      </c>
      <c r="K63" s="38">
        <v>0</v>
      </c>
      <c r="L63" s="73"/>
      <c r="M63" s="38">
        <v>879295.45553100528</v>
      </c>
      <c r="N63" s="291">
        <f t="shared" si="1"/>
        <v>0</v>
      </c>
      <c r="O63" s="38">
        <v>0</v>
      </c>
      <c r="P63" s="38">
        <v>829206.4206251885</v>
      </c>
      <c r="Q63" s="38">
        <v>1250000</v>
      </c>
      <c r="R63" s="38">
        <v>2079206.4206251884</v>
      </c>
      <c r="S63" s="74">
        <f t="shared" si="2"/>
        <v>24824408.331554729</v>
      </c>
    </row>
    <row r="64" spans="1:19">
      <c r="A64" s="37" t="s">
        <v>128</v>
      </c>
      <c r="B64" s="38">
        <v>1371166.4855390396</v>
      </c>
      <c r="C64" s="38">
        <v>301094.87992790801</v>
      </c>
      <c r="D64" s="73"/>
      <c r="E64" s="131">
        <v>48672197</v>
      </c>
      <c r="F64" s="38">
        <v>282331</v>
      </c>
      <c r="G64" s="38">
        <v>4573688.6685786806</v>
      </c>
      <c r="H64" s="38">
        <v>15514338.019343996</v>
      </c>
      <c r="I64" s="38">
        <v>262152.77880128799</v>
      </c>
      <c r="J64" s="38">
        <v>0</v>
      </c>
      <c r="K64" s="38">
        <v>1722709</v>
      </c>
      <c r="L64" s="73"/>
      <c r="M64" s="38">
        <v>1248271.4488664661</v>
      </c>
      <c r="N64" s="291">
        <f t="shared" si="1"/>
        <v>0</v>
      </c>
      <c r="O64" s="38">
        <v>0</v>
      </c>
      <c r="P64" s="38">
        <v>5018837.6410613721</v>
      </c>
      <c r="Q64" s="38">
        <v>1250000</v>
      </c>
      <c r="R64" s="38">
        <v>6268837.6410613721</v>
      </c>
      <c r="S64" s="74">
        <f t="shared" si="2"/>
        <v>80216786.922118753</v>
      </c>
    </row>
    <row r="65" spans="1:19">
      <c r="A65" s="37" t="s">
        <v>133</v>
      </c>
      <c r="B65" s="38">
        <v>424043.65110047453</v>
      </c>
      <c r="C65" s="38">
        <v>110720.39964912497</v>
      </c>
      <c r="D65" s="73"/>
      <c r="E65" s="131">
        <v>2031582</v>
      </c>
      <c r="F65" s="38">
        <v>0</v>
      </c>
      <c r="G65" s="38">
        <v>420082.35070150899</v>
      </c>
      <c r="H65" s="38">
        <v>6243093.8997836178</v>
      </c>
      <c r="I65" s="38">
        <v>96939.707507096755</v>
      </c>
      <c r="J65" s="38">
        <v>0</v>
      </c>
      <c r="K65" s="38">
        <v>137045</v>
      </c>
      <c r="L65" s="73"/>
      <c r="M65" s="38">
        <v>0</v>
      </c>
      <c r="N65" s="291">
        <f t="shared" si="1"/>
        <v>0</v>
      </c>
      <c r="O65" s="38">
        <v>0</v>
      </c>
      <c r="P65" s="38">
        <v>224092.99999999997</v>
      </c>
      <c r="Q65" s="38">
        <v>1250000</v>
      </c>
      <c r="R65" s="38">
        <v>1474093</v>
      </c>
      <c r="S65" s="74">
        <f t="shared" si="2"/>
        <v>10937600.008741822</v>
      </c>
    </row>
    <row r="66" spans="1:19">
      <c r="A66" s="37" t="s">
        <v>106</v>
      </c>
      <c r="B66" s="40"/>
      <c r="C66" s="40"/>
      <c r="D66" s="75"/>
      <c r="E66" s="132">
        <v>0</v>
      </c>
      <c r="F66" s="40"/>
      <c r="G66" s="40"/>
      <c r="H66" s="40"/>
      <c r="I66" s="40"/>
      <c r="J66" s="40"/>
      <c r="K66" s="40"/>
      <c r="L66" s="75"/>
      <c r="M66" s="40"/>
      <c r="N66" s="75"/>
      <c r="O66" s="40"/>
      <c r="P66" s="40"/>
      <c r="Q66" s="40"/>
      <c r="R66" s="40"/>
      <c r="S66" s="74">
        <f>SUM(B66:P66)</f>
        <v>0</v>
      </c>
    </row>
    <row r="67" spans="1:19" ht="12" thickBot="1">
      <c r="A67" s="133" t="s">
        <v>107</v>
      </c>
      <c r="B67" s="126">
        <v>106010643.2</v>
      </c>
      <c r="C67" s="126">
        <v>22145356.800000001</v>
      </c>
      <c r="D67" s="126"/>
      <c r="E67" s="126">
        <v>4823914787.0643997</v>
      </c>
      <c r="F67" s="126">
        <v>22293250</v>
      </c>
      <c r="G67" s="126">
        <v>257008500</v>
      </c>
      <c r="H67" s="126">
        <v>617507088</v>
      </c>
      <c r="I67" s="126">
        <v>10332600</v>
      </c>
      <c r="J67" s="126">
        <v>20000000</v>
      </c>
      <c r="K67" s="126">
        <v>25000000</v>
      </c>
      <c r="L67" s="126"/>
      <c r="M67" s="126">
        <v>2088390561.125</v>
      </c>
      <c r="N67" s="126"/>
      <c r="O67" s="126">
        <v>61728150</v>
      </c>
      <c r="P67" s="126">
        <v>362300000</v>
      </c>
      <c r="Q67" s="126">
        <v>65500000</v>
      </c>
      <c r="R67" s="126">
        <v>427800000</v>
      </c>
      <c r="S67" s="74">
        <f>SUM(B67:Q67)</f>
        <v>8482130936.1893997</v>
      </c>
    </row>
    <row r="68" spans="1:19" ht="12" thickTop="1">
      <c r="A68" s="41" t="s">
        <v>108</v>
      </c>
      <c r="B68" s="134">
        <v>532716.80000000005</v>
      </c>
      <c r="C68" s="42">
        <v>111283.2</v>
      </c>
      <c r="D68" s="76"/>
      <c r="E68" s="42">
        <v>33439875</v>
      </c>
      <c r="F68" s="42">
        <v>0</v>
      </c>
      <c r="G68" s="42">
        <v>1291500</v>
      </c>
      <c r="H68" s="42">
        <v>3039000</v>
      </c>
      <c r="I68" s="42">
        <v>0</v>
      </c>
      <c r="J68" s="42">
        <v>0</v>
      </c>
      <c r="K68" s="42">
        <v>0</v>
      </c>
      <c r="L68" s="76"/>
      <c r="M68" s="42">
        <v>15781288.875</v>
      </c>
      <c r="N68" s="76"/>
      <c r="O68" s="42">
        <v>0</v>
      </c>
      <c r="P68" s="42">
        <v>0</v>
      </c>
      <c r="Q68" s="42">
        <v>0</v>
      </c>
      <c r="R68" s="42">
        <v>0</v>
      </c>
      <c r="S68" s="74">
        <f>SUM(B68:P68)</f>
        <v>54195663.875</v>
      </c>
    </row>
    <row r="69" spans="1:19">
      <c r="A69" s="41"/>
      <c r="B69" s="42">
        <v>0</v>
      </c>
      <c r="C69" s="42">
        <v>0</v>
      </c>
      <c r="D69" s="76"/>
      <c r="E69" s="42">
        <v>0</v>
      </c>
      <c r="F69" s="42">
        <v>0</v>
      </c>
      <c r="G69" s="42">
        <v>0</v>
      </c>
      <c r="H69" s="42">
        <v>0</v>
      </c>
      <c r="I69" s="42">
        <v>0</v>
      </c>
      <c r="J69" s="42">
        <v>0</v>
      </c>
      <c r="K69" s="42">
        <v>0</v>
      </c>
      <c r="L69" s="76"/>
      <c r="M69" s="42">
        <v>0</v>
      </c>
      <c r="N69" s="76"/>
      <c r="O69" s="42">
        <v>0</v>
      </c>
      <c r="P69" s="42">
        <v>0</v>
      </c>
      <c r="Q69" s="42">
        <v>0</v>
      </c>
      <c r="R69" s="42">
        <v>0</v>
      </c>
      <c r="S69" s="74">
        <f>SUM(B69:P69)</f>
        <v>0</v>
      </c>
    </row>
    <row r="70" spans="1:19" ht="12" thickBot="1">
      <c r="A70" s="135" t="s">
        <v>107</v>
      </c>
      <c r="B70" s="126">
        <f>B67+B68+B69</f>
        <v>106543360</v>
      </c>
      <c r="C70" s="126">
        <f t="shared" ref="C70:R70" si="3">C67+C68+C69</f>
        <v>22256640</v>
      </c>
      <c r="D70" s="126"/>
      <c r="E70" s="126">
        <f t="shared" si="3"/>
        <v>4857354662.0643997</v>
      </c>
      <c r="F70" s="126">
        <f t="shared" si="3"/>
        <v>22293250</v>
      </c>
      <c r="G70" s="126">
        <f t="shared" si="3"/>
        <v>258300000</v>
      </c>
      <c r="H70" s="126">
        <f t="shared" si="3"/>
        <v>620546088</v>
      </c>
      <c r="I70" s="126">
        <f t="shared" si="3"/>
        <v>10332600</v>
      </c>
      <c r="J70" s="126">
        <f t="shared" si="3"/>
        <v>20000000</v>
      </c>
      <c r="K70" s="126">
        <f t="shared" si="3"/>
        <v>25000000</v>
      </c>
      <c r="L70" s="126"/>
      <c r="M70" s="126">
        <f t="shared" si="3"/>
        <v>2104171850</v>
      </c>
      <c r="N70" s="126"/>
      <c r="O70" s="126">
        <f t="shared" si="3"/>
        <v>61728150</v>
      </c>
      <c r="P70" s="126">
        <f t="shared" si="3"/>
        <v>362300000</v>
      </c>
      <c r="Q70" s="126">
        <f t="shared" si="3"/>
        <v>65500000</v>
      </c>
      <c r="R70" s="126">
        <f t="shared" si="3"/>
        <v>427800000</v>
      </c>
      <c r="S70" s="74">
        <f>SUM(B70:Q70)</f>
        <v>8536326600.0643997</v>
      </c>
    </row>
    <row r="71" spans="1:19" ht="12" thickTop="1">
      <c r="A71" s="123" t="s">
        <v>109</v>
      </c>
      <c r="B71" s="40">
        <v>0</v>
      </c>
      <c r="C71" s="40">
        <v>0</v>
      </c>
      <c r="D71" s="75"/>
      <c r="E71" s="40">
        <v>30000000</v>
      </c>
      <c r="F71" s="40">
        <v>0</v>
      </c>
      <c r="G71" s="40">
        <v>0</v>
      </c>
      <c r="H71" s="40">
        <v>0</v>
      </c>
      <c r="I71" s="40">
        <v>0</v>
      </c>
      <c r="J71" s="40">
        <v>0</v>
      </c>
      <c r="K71" s="40">
        <v>0</v>
      </c>
      <c r="L71" s="75"/>
      <c r="M71" s="40">
        <v>0</v>
      </c>
      <c r="N71" s="75"/>
      <c r="O71" s="40">
        <v>0</v>
      </c>
      <c r="P71" s="40">
        <v>0</v>
      </c>
      <c r="Q71" s="40">
        <v>0</v>
      </c>
      <c r="R71" s="40">
        <v>0</v>
      </c>
      <c r="S71" s="74">
        <f>SUM(B71:Q71)</f>
        <v>30000000</v>
      </c>
    </row>
    <row r="72" spans="1:19">
      <c r="A72" s="124" t="s">
        <v>158</v>
      </c>
      <c r="B72" s="19">
        <v>0</v>
      </c>
      <c r="C72" s="19">
        <v>0</v>
      </c>
      <c r="E72" s="19">
        <v>0</v>
      </c>
      <c r="F72" s="19">
        <v>0</v>
      </c>
      <c r="G72" s="19">
        <v>0</v>
      </c>
      <c r="H72" s="19">
        <v>0</v>
      </c>
      <c r="I72" s="19">
        <v>0</v>
      </c>
      <c r="J72" s="19">
        <v>0</v>
      </c>
      <c r="K72" s="19">
        <v>5000000</v>
      </c>
      <c r="M72" s="19">
        <v>0</v>
      </c>
      <c r="O72" s="19">
        <v>0</v>
      </c>
      <c r="P72" s="19">
        <v>0</v>
      </c>
      <c r="Q72" s="19">
        <v>0</v>
      </c>
      <c r="R72" s="19">
        <v>0</v>
      </c>
      <c r="S72" s="74">
        <f>SUM(B72:Q72)</f>
        <v>5000000</v>
      </c>
    </row>
    <row r="73" spans="1:19">
      <c r="A73" s="124" t="s">
        <v>159</v>
      </c>
      <c r="B73" s="19">
        <v>0</v>
      </c>
      <c r="C73" s="19">
        <v>0</v>
      </c>
      <c r="E73" s="19">
        <v>0</v>
      </c>
      <c r="F73" s="19">
        <v>0</v>
      </c>
      <c r="G73" s="19">
        <v>0</v>
      </c>
      <c r="H73" s="19">
        <v>0</v>
      </c>
      <c r="I73" s="19">
        <v>1823400</v>
      </c>
      <c r="J73" s="19">
        <v>0</v>
      </c>
      <c r="K73" s="19">
        <v>0</v>
      </c>
      <c r="M73" s="19">
        <v>0</v>
      </c>
      <c r="O73" s="19">
        <v>0</v>
      </c>
      <c r="P73" s="19">
        <v>0</v>
      </c>
      <c r="Q73" s="19">
        <v>0</v>
      </c>
      <c r="R73" s="19">
        <v>0</v>
      </c>
      <c r="S73" s="74">
        <f>SUM(B73:Q73)</f>
        <v>1823400</v>
      </c>
    </row>
    <row r="74" spans="1:19" ht="12" thickBot="1">
      <c r="A74" s="130" t="s">
        <v>110</v>
      </c>
      <c r="B74" s="130">
        <v>106543360</v>
      </c>
      <c r="C74" s="130">
        <v>22256640</v>
      </c>
      <c r="D74" s="130"/>
      <c r="E74" s="130">
        <v>4887354662.0643997</v>
      </c>
      <c r="F74" s="130">
        <v>22293250</v>
      </c>
      <c r="G74" s="130">
        <v>258300000</v>
      </c>
      <c r="H74" s="130">
        <v>620546088</v>
      </c>
      <c r="I74" s="130">
        <v>12156000</v>
      </c>
      <c r="J74" s="130">
        <v>20000000</v>
      </c>
      <c r="K74" s="130">
        <v>30000000</v>
      </c>
      <c r="L74" s="130"/>
      <c r="M74" s="130">
        <v>2104171850</v>
      </c>
      <c r="N74" s="130"/>
      <c r="O74" s="130">
        <v>61728150</v>
      </c>
      <c r="P74" s="130">
        <v>362300000</v>
      </c>
      <c r="Q74" s="130">
        <v>65500000</v>
      </c>
      <c r="R74" s="130">
        <v>427800000</v>
      </c>
      <c r="S74" s="74">
        <f>SUM(B74:Q74)</f>
        <v>8573150000.0643997</v>
      </c>
    </row>
    <row r="75" spans="1:19" ht="14.25" hidden="1" customHeight="1" thickTop="1">
      <c r="O75" s="19">
        <v>2165900000</v>
      </c>
    </row>
    <row r="76" spans="1:19" hidden="1">
      <c r="E76" s="19">
        <f>E74+F74+H74+I74+J74+K74</f>
        <v>5592350000.0643997</v>
      </c>
      <c r="O76" s="19">
        <v>2165900000</v>
      </c>
      <c r="S76" s="19">
        <f>8595000000-S74</f>
        <v>21849999.935600281</v>
      </c>
    </row>
    <row r="77" spans="1:19" hidden="1">
      <c r="A77" s="19" t="s">
        <v>111</v>
      </c>
      <c r="E77" s="19">
        <f>4458650000+607800000+525900000</f>
        <v>5592350000</v>
      </c>
      <c r="P77" s="100" t="s">
        <v>152</v>
      </c>
      <c r="Q77" s="19">
        <v>65500000</v>
      </c>
    </row>
    <row r="78" spans="1:19" hidden="1">
      <c r="E78" s="19">
        <f>E77-E76</f>
        <v>-6.439971923828125E-2</v>
      </c>
    </row>
    <row r="79" spans="1:19" ht="12" thickTop="1"/>
    <row r="87" spans="16:18">
      <c r="P87" s="43"/>
      <c r="Q87" s="43"/>
      <c r="R87" s="43"/>
    </row>
    <row r="93" spans="16:18">
      <c r="P93" s="43"/>
      <c r="Q93" s="43"/>
      <c r="R93" s="43"/>
    </row>
  </sheetData>
  <mergeCells count="8">
    <mergeCell ref="M7:O7"/>
    <mergeCell ref="A1:S1"/>
    <mergeCell ref="A2:S2"/>
    <mergeCell ref="A3:S3"/>
    <mergeCell ref="A4:S4"/>
    <mergeCell ref="B5:S5"/>
    <mergeCell ref="M6:O6"/>
    <mergeCell ref="P6:R6"/>
  </mergeCells>
  <phoneticPr fontId="20" type="noConversion"/>
  <pageMargins left="0.7" right="0.7" top="0.75" bottom="0.75" header="0.3" footer="0.3"/>
  <pageSetup orientation="portrait" horizontalDpi="4294967295" verticalDpi="4294967295"/>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I94"/>
  <sheetViews>
    <sheetView workbookViewId="0">
      <pane ySplit="9" topLeftCell="A10" activePane="bottomLeft" state="frozen"/>
      <selection activeCell="F76" sqref="F76"/>
      <selection pane="bottomLeft" sqref="A1:AB1"/>
    </sheetView>
  </sheetViews>
  <sheetFormatPr baseColWidth="10" defaultColWidth="9.1640625" defaultRowHeight="11" x14ac:dyDescent="0"/>
  <cols>
    <col min="1" max="1" width="30.1640625" style="19" customWidth="1"/>
    <col min="2" max="2" width="30.1640625" style="72" hidden="1" customWidth="1"/>
    <col min="3" max="3" width="20.1640625" style="19" customWidth="1"/>
    <col min="4" max="4" width="20.1640625" style="72" hidden="1" customWidth="1"/>
    <col min="5" max="5" width="20.1640625" style="19" customWidth="1"/>
    <col min="6" max="6" width="20.1640625" style="72" hidden="1" customWidth="1"/>
    <col min="7" max="7" width="17.1640625" style="19" customWidth="1"/>
    <col min="8" max="8" width="17.1640625" style="72" hidden="1" customWidth="1"/>
    <col min="9" max="9" width="17.1640625" style="19" customWidth="1"/>
    <col min="10" max="10" width="17.1640625" style="72" hidden="1" customWidth="1"/>
    <col min="11" max="11" width="20.6640625" style="19" customWidth="1"/>
    <col min="12" max="12" width="20.6640625" style="72" hidden="1" customWidth="1"/>
    <col min="13" max="13" width="20" style="19" customWidth="1"/>
    <col min="14" max="14" width="20" style="72" hidden="1" customWidth="1"/>
    <col min="15" max="15" width="17.5" style="19" customWidth="1"/>
    <col min="16" max="16" width="17.5" style="72" hidden="1" customWidth="1"/>
    <col min="17" max="17" width="19.83203125" style="19" customWidth="1"/>
    <col min="18" max="18" width="19.83203125" style="72" hidden="1" customWidth="1"/>
    <col min="19" max="19" width="17.1640625" style="19" customWidth="1"/>
    <col min="20" max="20" width="17.1640625" style="72" hidden="1" customWidth="1"/>
    <col min="21" max="21" width="17.1640625" style="19" customWidth="1"/>
    <col min="22" max="22" width="17.1640625" style="72" hidden="1" customWidth="1"/>
    <col min="23" max="23" width="15.83203125" style="19" customWidth="1"/>
    <col min="24" max="24" width="15.83203125" style="72" hidden="1" customWidth="1"/>
    <col min="25" max="25" width="15.5" style="19" customWidth="1"/>
    <col min="26" max="26" width="16.6640625" style="19" customWidth="1"/>
    <col min="27" max="27" width="15.5" style="19" customWidth="1"/>
    <col min="28" max="28" width="16" style="19" customWidth="1"/>
    <col min="29" max="29" width="12" style="19" hidden="1" customWidth="1"/>
    <col min="30" max="30" width="17.33203125" style="19" hidden="1" customWidth="1"/>
    <col min="31" max="31" width="16.5" style="19" bestFit="1" customWidth="1"/>
    <col min="32" max="32" width="10.83203125" style="19" bestFit="1" customWidth="1"/>
    <col min="33" max="269" width="9.1640625" style="19"/>
    <col min="270" max="270" width="29.33203125" style="19" customWidth="1"/>
    <col min="271" max="272" width="20.1640625" style="19" customWidth="1"/>
    <col min="273" max="274" width="17.1640625" style="19" customWidth="1"/>
    <col min="275" max="275" width="21.5" style="19" customWidth="1"/>
    <col min="276" max="276" width="18.33203125" style="19" customWidth="1"/>
    <col min="277" max="277" width="28.5" style="19" customWidth="1"/>
    <col min="278" max="278" width="21" style="19" customWidth="1"/>
    <col min="279" max="279" width="17.5" style="19" customWidth="1"/>
    <col min="280" max="280" width="22.6640625" style="19" customWidth="1"/>
    <col min="281" max="281" width="17.1640625" style="19" customWidth="1"/>
    <col min="282" max="282" width="15.83203125" style="19" customWidth="1"/>
    <col min="283" max="283" width="15.5" style="19" customWidth="1"/>
    <col min="284" max="284" width="16" style="19" customWidth="1"/>
    <col min="285" max="285" width="9.1640625" style="19" customWidth="1"/>
    <col min="286" max="286" width="17.33203125" style="19" customWidth="1"/>
    <col min="287" max="287" width="16.5" style="19" bestFit="1" customWidth="1"/>
    <col min="288" max="288" width="10.83203125" style="19" bestFit="1" customWidth="1"/>
    <col min="289" max="525" width="9.1640625" style="19"/>
    <col min="526" max="526" width="29.33203125" style="19" customWidth="1"/>
    <col min="527" max="528" width="20.1640625" style="19" customWidth="1"/>
    <col min="529" max="530" width="17.1640625" style="19" customWidth="1"/>
    <col min="531" max="531" width="21.5" style="19" customWidth="1"/>
    <col min="532" max="532" width="18.33203125" style="19" customWidth="1"/>
    <col min="533" max="533" width="28.5" style="19" customWidth="1"/>
    <col min="534" max="534" width="21" style="19" customWidth="1"/>
    <col min="535" max="535" width="17.5" style="19" customWidth="1"/>
    <col min="536" max="536" width="22.6640625" style="19" customWidth="1"/>
    <col min="537" max="537" width="17.1640625" style="19" customWidth="1"/>
    <col min="538" max="538" width="15.83203125" style="19" customWidth="1"/>
    <col min="539" max="539" width="15.5" style="19" customWidth="1"/>
    <col min="540" max="540" width="16" style="19" customWidth="1"/>
    <col min="541" max="541" width="9.1640625" style="19" customWidth="1"/>
    <col min="542" max="542" width="17.33203125" style="19" customWidth="1"/>
    <col min="543" max="543" width="16.5" style="19" bestFit="1" customWidth="1"/>
    <col min="544" max="544" width="10.83203125" style="19" bestFit="1" customWidth="1"/>
    <col min="545" max="781" width="9.1640625" style="19"/>
    <col min="782" max="782" width="29.33203125" style="19" customWidth="1"/>
    <col min="783" max="784" width="20.1640625" style="19" customWidth="1"/>
    <col min="785" max="786" width="17.1640625" style="19" customWidth="1"/>
    <col min="787" max="787" width="21.5" style="19" customWidth="1"/>
    <col min="788" max="788" width="18.33203125" style="19" customWidth="1"/>
    <col min="789" max="789" width="28.5" style="19" customWidth="1"/>
    <col min="790" max="790" width="21" style="19" customWidth="1"/>
    <col min="791" max="791" width="17.5" style="19" customWidth="1"/>
    <col min="792" max="792" width="22.6640625" style="19" customWidth="1"/>
    <col min="793" max="793" width="17.1640625" style="19" customWidth="1"/>
    <col min="794" max="794" width="15.83203125" style="19" customWidth="1"/>
    <col min="795" max="795" width="15.5" style="19" customWidth="1"/>
    <col min="796" max="796" width="16" style="19" customWidth="1"/>
    <col min="797" max="797" width="9.1640625" style="19" customWidth="1"/>
    <col min="798" max="798" width="17.33203125" style="19" customWidth="1"/>
    <col min="799" max="799" width="16.5" style="19" bestFit="1" customWidth="1"/>
    <col min="800" max="800" width="10.83203125" style="19" bestFit="1" customWidth="1"/>
    <col min="801" max="1037" width="9.1640625" style="19"/>
    <col min="1038" max="1038" width="29.33203125" style="19" customWidth="1"/>
    <col min="1039" max="1040" width="20.1640625" style="19" customWidth="1"/>
    <col min="1041" max="1042" width="17.1640625" style="19" customWidth="1"/>
    <col min="1043" max="1043" width="21.5" style="19" customWidth="1"/>
    <col min="1044" max="1044" width="18.33203125" style="19" customWidth="1"/>
    <col min="1045" max="1045" width="28.5" style="19" customWidth="1"/>
    <col min="1046" max="1046" width="21" style="19" customWidth="1"/>
    <col min="1047" max="1047" width="17.5" style="19" customWidth="1"/>
    <col min="1048" max="1048" width="22.6640625" style="19" customWidth="1"/>
    <col min="1049" max="1049" width="17.1640625" style="19" customWidth="1"/>
    <col min="1050" max="1050" width="15.83203125" style="19" customWidth="1"/>
    <col min="1051" max="1051" width="15.5" style="19" customWidth="1"/>
    <col min="1052" max="1052" width="16" style="19" customWidth="1"/>
    <col min="1053" max="1053" width="9.1640625" style="19" customWidth="1"/>
    <col min="1054" max="1054" width="17.33203125" style="19" customWidth="1"/>
    <col min="1055" max="1055" width="16.5" style="19" bestFit="1" customWidth="1"/>
    <col min="1056" max="1056" width="10.83203125" style="19" bestFit="1" customWidth="1"/>
    <col min="1057" max="1293" width="9.1640625" style="19"/>
    <col min="1294" max="1294" width="29.33203125" style="19" customWidth="1"/>
    <col min="1295" max="1296" width="20.1640625" style="19" customWidth="1"/>
    <col min="1297" max="1298" width="17.1640625" style="19" customWidth="1"/>
    <col min="1299" max="1299" width="21.5" style="19" customWidth="1"/>
    <col min="1300" max="1300" width="18.33203125" style="19" customWidth="1"/>
    <col min="1301" max="1301" width="28.5" style="19" customWidth="1"/>
    <col min="1302" max="1302" width="21" style="19" customWidth="1"/>
    <col min="1303" max="1303" width="17.5" style="19" customWidth="1"/>
    <col min="1304" max="1304" width="22.6640625" style="19" customWidth="1"/>
    <col min="1305" max="1305" width="17.1640625" style="19" customWidth="1"/>
    <col min="1306" max="1306" width="15.83203125" style="19" customWidth="1"/>
    <col min="1307" max="1307" width="15.5" style="19" customWidth="1"/>
    <col min="1308" max="1308" width="16" style="19" customWidth="1"/>
    <col min="1309" max="1309" width="9.1640625" style="19" customWidth="1"/>
    <col min="1310" max="1310" width="17.33203125" style="19" customWidth="1"/>
    <col min="1311" max="1311" width="16.5" style="19" bestFit="1" customWidth="1"/>
    <col min="1312" max="1312" width="10.83203125" style="19" bestFit="1" customWidth="1"/>
    <col min="1313" max="1549" width="9.1640625" style="19"/>
    <col min="1550" max="1550" width="29.33203125" style="19" customWidth="1"/>
    <col min="1551" max="1552" width="20.1640625" style="19" customWidth="1"/>
    <col min="1553" max="1554" width="17.1640625" style="19" customWidth="1"/>
    <col min="1555" max="1555" width="21.5" style="19" customWidth="1"/>
    <col min="1556" max="1556" width="18.33203125" style="19" customWidth="1"/>
    <col min="1557" max="1557" width="28.5" style="19" customWidth="1"/>
    <col min="1558" max="1558" width="21" style="19" customWidth="1"/>
    <col min="1559" max="1559" width="17.5" style="19" customWidth="1"/>
    <col min="1560" max="1560" width="22.6640625" style="19" customWidth="1"/>
    <col min="1561" max="1561" width="17.1640625" style="19" customWidth="1"/>
    <col min="1562" max="1562" width="15.83203125" style="19" customWidth="1"/>
    <col min="1563" max="1563" width="15.5" style="19" customWidth="1"/>
    <col min="1564" max="1564" width="16" style="19" customWidth="1"/>
    <col min="1565" max="1565" width="9.1640625" style="19" customWidth="1"/>
    <col min="1566" max="1566" width="17.33203125" style="19" customWidth="1"/>
    <col min="1567" max="1567" width="16.5" style="19" bestFit="1" customWidth="1"/>
    <col min="1568" max="1568" width="10.83203125" style="19" bestFit="1" customWidth="1"/>
    <col min="1569" max="1805" width="9.1640625" style="19"/>
    <col min="1806" max="1806" width="29.33203125" style="19" customWidth="1"/>
    <col min="1807" max="1808" width="20.1640625" style="19" customWidth="1"/>
    <col min="1809" max="1810" width="17.1640625" style="19" customWidth="1"/>
    <col min="1811" max="1811" width="21.5" style="19" customWidth="1"/>
    <col min="1812" max="1812" width="18.33203125" style="19" customWidth="1"/>
    <col min="1813" max="1813" width="28.5" style="19" customWidth="1"/>
    <col min="1814" max="1814" width="21" style="19" customWidth="1"/>
    <col min="1815" max="1815" width="17.5" style="19" customWidth="1"/>
    <col min="1816" max="1816" width="22.6640625" style="19" customWidth="1"/>
    <col min="1817" max="1817" width="17.1640625" style="19" customWidth="1"/>
    <col min="1818" max="1818" width="15.83203125" style="19" customWidth="1"/>
    <col min="1819" max="1819" width="15.5" style="19" customWidth="1"/>
    <col min="1820" max="1820" width="16" style="19" customWidth="1"/>
    <col min="1821" max="1821" width="9.1640625" style="19" customWidth="1"/>
    <col min="1822" max="1822" width="17.33203125" style="19" customWidth="1"/>
    <col min="1823" max="1823" width="16.5" style="19" bestFit="1" customWidth="1"/>
    <col min="1824" max="1824" width="10.83203125" style="19" bestFit="1" customWidth="1"/>
    <col min="1825" max="2061" width="9.1640625" style="19"/>
    <col min="2062" max="2062" width="29.33203125" style="19" customWidth="1"/>
    <col min="2063" max="2064" width="20.1640625" style="19" customWidth="1"/>
    <col min="2065" max="2066" width="17.1640625" style="19" customWidth="1"/>
    <col min="2067" max="2067" width="21.5" style="19" customWidth="1"/>
    <col min="2068" max="2068" width="18.33203125" style="19" customWidth="1"/>
    <col min="2069" max="2069" width="28.5" style="19" customWidth="1"/>
    <col min="2070" max="2070" width="21" style="19" customWidth="1"/>
    <col min="2071" max="2071" width="17.5" style="19" customWidth="1"/>
    <col min="2072" max="2072" width="22.6640625" style="19" customWidth="1"/>
    <col min="2073" max="2073" width="17.1640625" style="19" customWidth="1"/>
    <col min="2074" max="2074" width="15.83203125" style="19" customWidth="1"/>
    <col min="2075" max="2075" width="15.5" style="19" customWidth="1"/>
    <col min="2076" max="2076" width="16" style="19" customWidth="1"/>
    <col min="2077" max="2077" width="9.1640625" style="19" customWidth="1"/>
    <col min="2078" max="2078" width="17.33203125" style="19" customWidth="1"/>
    <col min="2079" max="2079" width="16.5" style="19" bestFit="1" customWidth="1"/>
    <col min="2080" max="2080" width="10.83203125" style="19" bestFit="1" customWidth="1"/>
    <col min="2081" max="2317" width="9.1640625" style="19"/>
    <col min="2318" max="2318" width="29.33203125" style="19" customWidth="1"/>
    <col min="2319" max="2320" width="20.1640625" style="19" customWidth="1"/>
    <col min="2321" max="2322" width="17.1640625" style="19" customWidth="1"/>
    <col min="2323" max="2323" width="21.5" style="19" customWidth="1"/>
    <col min="2324" max="2324" width="18.33203125" style="19" customWidth="1"/>
    <col min="2325" max="2325" width="28.5" style="19" customWidth="1"/>
    <col min="2326" max="2326" width="21" style="19" customWidth="1"/>
    <col min="2327" max="2327" width="17.5" style="19" customWidth="1"/>
    <col min="2328" max="2328" width="22.6640625" style="19" customWidth="1"/>
    <col min="2329" max="2329" width="17.1640625" style="19" customWidth="1"/>
    <col min="2330" max="2330" width="15.83203125" style="19" customWidth="1"/>
    <col min="2331" max="2331" width="15.5" style="19" customWidth="1"/>
    <col min="2332" max="2332" width="16" style="19" customWidth="1"/>
    <col min="2333" max="2333" width="9.1640625" style="19" customWidth="1"/>
    <col min="2334" max="2334" width="17.33203125" style="19" customWidth="1"/>
    <col min="2335" max="2335" width="16.5" style="19" bestFit="1" customWidth="1"/>
    <col min="2336" max="2336" width="10.83203125" style="19" bestFit="1" customWidth="1"/>
    <col min="2337" max="2573" width="9.1640625" style="19"/>
    <col min="2574" max="2574" width="29.33203125" style="19" customWidth="1"/>
    <col min="2575" max="2576" width="20.1640625" style="19" customWidth="1"/>
    <col min="2577" max="2578" width="17.1640625" style="19" customWidth="1"/>
    <col min="2579" max="2579" width="21.5" style="19" customWidth="1"/>
    <col min="2580" max="2580" width="18.33203125" style="19" customWidth="1"/>
    <col min="2581" max="2581" width="28.5" style="19" customWidth="1"/>
    <col min="2582" max="2582" width="21" style="19" customWidth="1"/>
    <col min="2583" max="2583" width="17.5" style="19" customWidth="1"/>
    <col min="2584" max="2584" width="22.6640625" style="19" customWidth="1"/>
    <col min="2585" max="2585" width="17.1640625" style="19" customWidth="1"/>
    <col min="2586" max="2586" width="15.83203125" style="19" customWidth="1"/>
    <col min="2587" max="2587" width="15.5" style="19" customWidth="1"/>
    <col min="2588" max="2588" width="16" style="19" customWidth="1"/>
    <col min="2589" max="2589" width="9.1640625" style="19" customWidth="1"/>
    <col min="2590" max="2590" width="17.33203125" style="19" customWidth="1"/>
    <col min="2591" max="2591" width="16.5" style="19" bestFit="1" customWidth="1"/>
    <col min="2592" max="2592" width="10.83203125" style="19" bestFit="1" customWidth="1"/>
    <col min="2593" max="2829" width="9.1640625" style="19"/>
    <col min="2830" max="2830" width="29.33203125" style="19" customWidth="1"/>
    <col min="2831" max="2832" width="20.1640625" style="19" customWidth="1"/>
    <col min="2833" max="2834" width="17.1640625" style="19" customWidth="1"/>
    <col min="2835" max="2835" width="21.5" style="19" customWidth="1"/>
    <col min="2836" max="2836" width="18.33203125" style="19" customWidth="1"/>
    <col min="2837" max="2837" width="28.5" style="19" customWidth="1"/>
    <col min="2838" max="2838" width="21" style="19" customWidth="1"/>
    <col min="2839" max="2839" width="17.5" style="19" customWidth="1"/>
    <col min="2840" max="2840" width="22.6640625" style="19" customWidth="1"/>
    <col min="2841" max="2841" width="17.1640625" style="19" customWidth="1"/>
    <col min="2842" max="2842" width="15.83203125" style="19" customWidth="1"/>
    <col min="2843" max="2843" width="15.5" style="19" customWidth="1"/>
    <col min="2844" max="2844" width="16" style="19" customWidth="1"/>
    <col min="2845" max="2845" width="9.1640625" style="19" customWidth="1"/>
    <col min="2846" max="2846" width="17.33203125" style="19" customWidth="1"/>
    <col min="2847" max="2847" width="16.5" style="19" bestFit="1" customWidth="1"/>
    <col min="2848" max="2848" width="10.83203125" style="19" bestFit="1" customWidth="1"/>
    <col min="2849" max="3085" width="9.1640625" style="19"/>
    <col min="3086" max="3086" width="29.33203125" style="19" customWidth="1"/>
    <col min="3087" max="3088" width="20.1640625" style="19" customWidth="1"/>
    <col min="3089" max="3090" width="17.1640625" style="19" customWidth="1"/>
    <col min="3091" max="3091" width="21.5" style="19" customWidth="1"/>
    <col min="3092" max="3092" width="18.33203125" style="19" customWidth="1"/>
    <col min="3093" max="3093" width="28.5" style="19" customWidth="1"/>
    <col min="3094" max="3094" width="21" style="19" customWidth="1"/>
    <col min="3095" max="3095" width="17.5" style="19" customWidth="1"/>
    <col min="3096" max="3096" width="22.6640625" style="19" customWidth="1"/>
    <col min="3097" max="3097" width="17.1640625" style="19" customWidth="1"/>
    <col min="3098" max="3098" width="15.83203125" style="19" customWidth="1"/>
    <col min="3099" max="3099" width="15.5" style="19" customWidth="1"/>
    <col min="3100" max="3100" width="16" style="19" customWidth="1"/>
    <col min="3101" max="3101" width="9.1640625" style="19" customWidth="1"/>
    <col min="3102" max="3102" width="17.33203125" style="19" customWidth="1"/>
    <col min="3103" max="3103" width="16.5" style="19" bestFit="1" customWidth="1"/>
    <col min="3104" max="3104" width="10.83203125" style="19" bestFit="1" customWidth="1"/>
    <col min="3105" max="3341" width="9.1640625" style="19"/>
    <col min="3342" max="3342" width="29.33203125" style="19" customWidth="1"/>
    <col min="3343" max="3344" width="20.1640625" style="19" customWidth="1"/>
    <col min="3345" max="3346" width="17.1640625" style="19" customWidth="1"/>
    <col min="3347" max="3347" width="21.5" style="19" customWidth="1"/>
    <col min="3348" max="3348" width="18.33203125" style="19" customWidth="1"/>
    <col min="3349" max="3349" width="28.5" style="19" customWidth="1"/>
    <col min="3350" max="3350" width="21" style="19" customWidth="1"/>
    <col min="3351" max="3351" width="17.5" style="19" customWidth="1"/>
    <col min="3352" max="3352" width="22.6640625" style="19" customWidth="1"/>
    <col min="3353" max="3353" width="17.1640625" style="19" customWidth="1"/>
    <col min="3354" max="3354" width="15.83203125" style="19" customWidth="1"/>
    <col min="3355" max="3355" width="15.5" style="19" customWidth="1"/>
    <col min="3356" max="3356" width="16" style="19" customWidth="1"/>
    <col min="3357" max="3357" width="9.1640625" style="19" customWidth="1"/>
    <col min="3358" max="3358" width="17.33203125" style="19" customWidth="1"/>
    <col min="3359" max="3359" width="16.5" style="19" bestFit="1" customWidth="1"/>
    <col min="3360" max="3360" width="10.83203125" style="19" bestFit="1" customWidth="1"/>
    <col min="3361" max="3597" width="9.1640625" style="19"/>
    <col min="3598" max="3598" width="29.33203125" style="19" customWidth="1"/>
    <col min="3599" max="3600" width="20.1640625" style="19" customWidth="1"/>
    <col min="3601" max="3602" width="17.1640625" style="19" customWidth="1"/>
    <col min="3603" max="3603" width="21.5" style="19" customWidth="1"/>
    <col min="3604" max="3604" width="18.33203125" style="19" customWidth="1"/>
    <col min="3605" max="3605" width="28.5" style="19" customWidth="1"/>
    <col min="3606" max="3606" width="21" style="19" customWidth="1"/>
    <col min="3607" max="3607" width="17.5" style="19" customWidth="1"/>
    <col min="3608" max="3608" width="22.6640625" style="19" customWidth="1"/>
    <col min="3609" max="3609" width="17.1640625" style="19" customWidth="1"/>
    <col min="3610" max="3610" width="15.83203125" style="19" customWidth="1"/>
    <col min="3611" max="3611" width="15.5" style="19" customWidth="1"/>
    <col min="3612" max="3612" width="16" style="19" customWidth="1"/>
    <col min="3613" max="3613" width="9.1640625" style="19" customWidth="1"/>
    <col min="3614" max="3614" width="17.33203125" style="19" customWidth="1"/>
    <col min="3615" max="3615" width="16.5" style="19" bestFit="1" customWidth="1"/>
    <col min="3616" max="3616" width="10.83203125" style="19" bestFit="1" customWidth="1"/>
    <col min="3617" max="3853" width="9.1640625" style="19"/>
    <col min="3854" max="3854" width="29.33203125" style="19" customWidth="1"/>
    <col min="3855" max="3856" width="20.1640625" style="19" customWidth="1"/>
    <col min="3857" max="3858" width="17.1640625" style="19" customWidth="1"/>
    <col min="3859" max="3859" width="21.5" style="19" customWidth="1"/>
    <col min="3860" max="3860" width="18.33203125" style="19" customWidth="1"/>
    <col min="3861" max="3861" width="28.5" style="19" customWidth="1"/>
    <col min="3862" max="3862" width="21" style="19" customWidth="1"/>
    <col min="3863" max="3863" width="17.5" style="19" customWidth="1"/>
    <col min="3864" max="3864" width="22.6640625" style="19" customWidth="1"/>
    <col min="3865" max="3865" width="17.1640625" style="19" customWidth="1"/>
    <col min="3866" max="3866" width="15.83203125" style="19" customWidth="1"/>
    <col min="3867" max="3867" width="15.5" style="19" customWidth="1"/>
    <col min="3868" max="3868" width="16" style="19" customWidth="1"/>
    <col min="3869" max="3869" width="9.1640625" style="19" customWidth="1"/>
    <col min="3870" max="3870" width="17.33203125" style="19" customWidth="1"/>
    <col min="3871" max="3871" width="16.5" style="19" bestFit="1" customWidth="1"/>
    <col min="3872" max="3872" width="10.83203125" style="19" bestFit="1" customWidth="1"/>
    <col min="3873" max="4109" width="9.1640625" style="19"/>
    <col min="4110" max="4110" width="29.33203125" style="19" customWidth="1"/>
    <col min="4111" max="4112" width="20.1640625" style="19" customWidth="1"/>
    <col min="4113" max="4114" width="17.1640625" style="19" customWidth="1"/>
    <col min="4115" max="4115" width="21.5" style="19" customWidth="1"/>
    <col min="4116" max="4116" width="18.33203125" style="19" customWidth="1"/>
    <col min="4117" max="4117" width="28.5" style="19" customWidth="1"/>
    <col min="4118" max="4118" width="21" style="19" customWidth="1"/>
    <col min="4119" max="4119" width="17.5" style="19" customWidth="1"/>
    <col min="4120" max="4120" width="22.6640625" style="19" customWidth="1"/>
    <col min="4121" max="4121" width="17.1640625" style="19" customWidth="1"/>
    <col min="4122" max="4122" width="15.83203125" style="19" customWidth="1"/>
    <col min="4123" max="4123" width="15.5" style="19" customWidth="1"/>
    <col min="4124" max="4124" width="16" style="19" customWidth="1"/>
    <col min="4125" max="4125" width="9.1640625" style="19" customWidth="1"/>
    <col min="4126" max="4126" width="17.33203125" style="19" customWidth="1"/>
    <col min="4127" max="4127" width="16.5" style="19" bestFit="1" customWidth="1"/>
    <col min="4128" max="4128" width="10.83203125" style="19" bestFit="1" customWidth="1"/>
    <col min="4129" max="4365" width="9.1640625" style="19"/>
    <col min="4366" max="4366" width="29.33203125" style="19" customWidth="1"/>
    <col min="4367" max="4368" width="20.1640625" style="19" customWidth="1"/>
    <col min="4369" max="4370" width="17.1640625" style="19" customWidth="1"/>
    <col min="4371" max="4371" width="21.5" style="19" customWidth="1"/>
    <col min="4372" max="4372" width="18.33203125" style="19" customWidth="1"/>
    <col min="4373" max="4373" width="28.5" style="19" customWidth="1"/>
    <col min="4374" max="4374" width="21" style="19" customWidth="1"/>
    <col min="4375" max="4375" width="17.5" style="19" customWidth="1"/>
    <col min="4376" max="4376" width="22.6640625" style="19" customWidth="1"/>
    <col min="4377" max="4377" width="17.1640625" style="19" customWidth="1"/>
    <col min="4378" max="4378" width="15.83203125" style="19" customWidth="1"/>
    <col min="4379" max="4379" width="15.5" style="19" customWidth="1"/>
    <col min="4380" max="4380" width="16" style="19" customWidth="1"/>
    <col min="4381" max="4381" width="9.1640625" style="19" customWidth="1"/>
    <col min="4382" max="4382" width="17.33203125" style="19" customWidth="1"/>
    <col min="4383" max="4383" width="16.5" style="19" bestFit="1" customWidth="1"/>
    <col min="4384" max="4384" width="10.83203125" style="19" bestFit="1" customWidth="1"/>
    <col min="4385" max="4621" width="9.1640625" style="19"/>
    <col min="4622" max="4622" width="29.33203125" style="19" customWidth="1"/>
    <col min="4623" max="4624" width="20.1640625" style="19" customWidth="1"/>
    <col min="4625" max="4626" width="17.1640625" style="19" customWidth="1"/>
    <col min="4627" max="4627" width="21.5" style="19" customWidth="1"/>
    <col min="4628" max="4628" width="18.33203125" style="19" customWidth="1"/>
    <col min="4629" max="4629" width="28.5" style="19" customWidth="1"/>
    <col min="4630" max="4630" width="21" style="19" customWidth="1"/>
    <col min="4631" max="4631" width="17.5" style="19" customWidth="1"/>
    <col min="4632" max="4632" width="22.6640625" style="19" customWidth="1"/>
    <col min="4633" max="4633" width="17.1640625" style="19" customWidth="1"/>
    <col min="4634" max="4634" width="15.83203125" style="19" customWidth="1"/>
    <col min="4635" max="4635" width="15.5" style="19" customWidth="1"/>
    <col min="4636" max="4636" width="16" style="19" customWidth="1"/>
    <col min="4637" max="4637" width="9.1640625" style="19" customWidth="1"/>
    <col min="4638" max="4638" width="17.33203125" style="19" customWidth="1"/>
    <col min="4639" max="4639" width="16.5" style="19" bestFit="1" customWidth="1"/>
    <col min="4640" max="4640" width="10.83203125" style="19" bestFit="1" customWidth="1"/>
    <col min="4641" max="4877" width="9.1640625" style="19"/>
    <col min="4878" max="4878" width="29.33203125" style="19" customWidth="1"/>
    <col min="4879" max="4880" width="20.1640625" style="19" customWidth="1"/>
    <col min="4881" max="4882" width="17.1640625" style="19" customWidth="1"/>
    <col min="4883" max="4883" width="21.5" style="19" customWidth="1"/>
    <col min="4884" max="4884" width="18.33203125" style="19" customWidth="1"/>
    <col min="4885" max="4885" width="28.5" style="19" customWidth="1"/>
    <col min="4886" max="4886" width="21" style="19" customWidth="1"/>
    <col min="4887" max="4887" width="17.5" style="19" customWidth="1"/>
    <col min="4888" max="4888" width="22.6640625" style="19" customWidth="1"/>
    <col min="4889" max="4889" width="17.1640625" style="19" customWidth="1"/>
    <col min="4890" max="4890" width="15.83203125" style="19" customWidth="1"/>
    <col min="4891" max="4891" width="15.5" style="19" customWidth="1"/>
    <col min="4892" max="4892" width="16" style="19" customWidth="1"/>
    <col min="4893" max="4893" width="9.1640625" style="19" customWidth="1"/>
    <col min="4894" max="4894" width="17.33203125" style="19" customWidth="1"/>
    <col min="4895" max="4895" width="16.5" style="19" bestFit="1" customWidth="1"/>
    <col min="4896" max="4896" width="10.83203125" style="19" bestFit="1" customWidth="1"/>
    <col min="4897" max="5133" width="9.1640625" style="19"/>
    <col min="5134" max="5134" width="29.33203125" style="19" customWidth="1"/>
    <col min="5135" max="5136" width="20.1640625" style="19" customWidth="1"/>
    <col min="5137" max="5138" width="17.1640625" style="19" customWidth="1"/>
    <col min="5139" max="5139" width="21.5" style="19" customWidth="1"/>
    <col min="5140" max="5140" width="18.33203125" style="19" customWidth="1"/>
    <col min="5141" max="5141" width="28.5" style="19" customWidth="1"/>
    <col min="5142" max="5142" width="21" style="19" customWidth="1"/>
    <col min="5143" max="5143" width="17.5" style="19" customWidth="1"/>
    <col min="5144" max="5144" width="22.6640625" style="19" customWidth="1"/>
    <col min="5145" max="5145" width="17.1640625" style="19" customWidth="1"/>
    <col min="5146" max="5146" width="15.83203125" style="19" customWidth="1"/>
    <col min="5147" max="5147" width="15.5" style="19" customWidth="1"/>
    <col min="5148" max="5148" width="16" style="19" customWidth="1"/>
    <col min="5149" max="5149" width="9.1640625" style="19" customWidth="1"/>
    <col min="5150" max="5150" width="17.33203125" style="19" customWidth="1"/>
    <col min="5151" max="5151" width="16.5" style="19" bestFit="1" customWidth="1"/>
    <col min="5152" max="5152" width="10.83203125" style="19" bestFit="1" customWidth="1"/>
    <col min="5153" max="5389" width="9.1640625" style="19"/>
    <col min="5390" max="5390" width="29.33203125" style="19" customWidth="1"/>
    <col min="5391" max="5392" width="20.1640625" style="19" customWidth="1"/>
    <col min="5393" max="5394" width="17.1640625" style="19" customWidth="1"/>
    <col min="5395" max="5395" width="21.5" style="19" customWidth="1"/>
    <col min="5396" max="5396" width="18.33203125" style="19" customWidth="1"/>
    <col min="5397" max="5397" width="28.5" style="19" customWidth="1"/>
    <col min="5398" max="5398" width="21" style="19" customWidth="1"/>
    <col min="5399" max="5399" width="17.5" style="19" customWidth="1"/>
    <col min="5400" max="5400" width="22.6640625" style="19" customWidth="1"/>
    <col min="5401" max="5401" width="17.1640625" style="19" customWidth="1"/>
    <col min="5402" max="5402" width="15.83203125" style="19" customWidth="1"/>
    <col min="5403" max="5403" width="15.5" style="19" customWidth="1"/>
    <col min="5404" max="5404" width="16" style="19" customWidth="1"/>
    <col min="5405" max="5405" width="9.1640625" style="19" customWidth="1"/>
    <col min="5406" max="5406" width="17.33203125" style="19" customWidth="1"/>
    <col min="5407" max="5407" width="16.5" style="19" bestFit="1" customWidth="1"/>
    <col min="5408" max="5408" width="10.83203125" style="19" bestFit="1" customWidth="1"/>
    <col min="5409" max="5645" width="9.1640625" style="19"/>
    <col min="5646" max="5646" width="29.33203125" style="19" customWidth="1"/>
    <col min="5647" max="5648" width="20.1640625" style="19" customWidth="1"/>
    <col min="5649" max="5650" width="17.1640625" style="19" customWidth="1"/>
    <col min="5651" max="5651" width="21.5" style="19" customWidth="1"/>
    <col min="5652" max="5652" width="18.33203125" style="19" customWidth="1"/>
    <col min="5653" max="5653" width="28.5" style="19" customWidth="1"/>
    <col min="5654" max="5654" width="21" style="19" customWidth="1"/>
    <col min="5655" max="5655" width="17.5" style="19" customWidth="1"/>
    <col min="5656" max="5656" width="22.6640625" style="19" customWidth="1"/>
    <col min="5657" max="5657" width="17.1640625" style="19" customWidth="1"/>
    <col min="5658" max="5658" width="15.83203125" style="19" customWidth="1"/>
    <col min="5659" max="5659" width="15.5" style="19" customWidth="1"/>
    <col min="5660" max="5660" width="16" style="19" customWidth="1"/>
    <col min="5661" max="5661" width="9.1640625" style="19" customWidth="1"/>
    <col min="5662" max="5662" width="17.33203125" style="19" customWidth="1"/>
    <col min="5663" max="5663" width="16.5" style="19" bestFit="1" customWidth="1"/>
    <col min="5664" max="5664" width="10.83203125" style="19" bestFit="1" customWidth="1"/>
    <col min="5665" max="5901" width="9.1640625" style="19"/>
    <col min="5902" max="5902" width="29.33203125" style="19" customWidth="1"/>
    <col min="5903" max="5904" width="20.1640625" style="19" customWidth="1"/>
    <col min="5905" max="5906" width="17.1640625" style="19" customWidth="1"/>
    <col min="5907" max="5907" width="21.5" style="19" customWidth="1"/>
    <col min="5908" max="5908" width="18.33203125" style="19" customWidth="1"/>
    <col min="5909" max="5909" width="28.5" style="19" customWidth="1"/>
    <col min="5910" max="5910" width="21" style="19" customWidth="1"/>
    <col min="5911" max="5911" width="17.5" style="19" customWidth="1"/>
    <col min="5912" max="5912" width="22.6640625" style="19" customWidth="1"/>
    <col min="5913" max="5913" width="17.1640625" style="19" customWidth="1"/>
    <col min="5914" max="5914" width="15.83203125" style="19" customWidth="1"/>
    <col min="5915" max="5915" width="15.5" style="19" customWidth="1"/>
    <col min="5916" max="5916" width="16" style="19" customWidth="1"/>
    <col min="5917" max="5917" width="9.1640625" style="19" customWidth="1"/>
    <col min="5918" max="5918" width="17.33203125" style="19" customWidth="1"/>
    <col min="5919" max="5919" width="16.5" style="19" bestFit="1" customWidth="1"/>
    <col min="5920" max="5920" width="10.83203125" style="19" bestFit="1" customWidth="1"/>
    <col min="5921" max="6157" width="9.1640625" style="19"/>
    <col min="6158" max="6158" width="29.33203125" style="19" customWidth="1"/>
    <col min="6159" max="6160" width="20.1640625" style="19" customWidth="1"/>
    <col min="6161" max="6162" width="17.1640625" style="19" customWidth="1"/>
    <col min="6163" max="6163" width="21.5" style="19" customWidth="1"/>
    <col min="6164" max="6164" width="18.33203125" style="19" customWidth="1"/>
    <col min="6165" max="6165" width="28.5" style="19" customWidth="1"/>
    <col min="6166" max="6166" width="21" style="19" customWidth="1"/>
    <col min="6167" max="6167" width="17.5" style="19" customWidth="1"/>
    <col min="6168" max="6168" width="22.6640625" style="19" customWidth="1"/>
    <col min="6169" max="6169" width="17.1640625" style="19" customWidth="1"/>
    <col min="6170" max="6170" width="15.83203125" style="19" customWidth="1"/>
    <col min="6171" max="6171" width="15.5" style="19" customWidth="1"/>
    <col min="6172" max="6172" width="16" style="19" customWidth="1"/>
    <col min="6173" max="6173" width="9.1640625" style="19" customWidth="1"/>
    <col min="6174" max="6174" width="17.33203125" style="19" customWidth="1"/>
    <col min="6175" max="6175" width="16.5" style="19" bestFit="1" customWidth="1"/>
    <col min="6176" max="6176" width="10.83203125" style="19" bestFit="1" customWidth="1"/>
    <col min="6177" max="6413" width="9.1640625" style="19"/>
    <col min="6414" max="6414" width="29.33203125" style="19" customWidth="1"/>
    <col min="6415" max="6416" width="20.1640625" style="19" customWidth="1"/>
    <col min="6417" max="6418" width="17.1640625" style="19" customWidth="1"/>
    <col min="6419" max="6419" width="21.5" style="19" customWidth="1"/>
    <col min="6420" max="6420" width="18.33203125" style="19" customWidth="1"/>
    <col min="6421" max="6421" width="28.5" style="19" customWidth="1"/>
    <col min="6422" max="6422" width="21" style="19" customWidth="1"/>
    <col min="6423" max="6423" width="17.5" style="19" customWidth="1"/>
    <col min="6424" max="6424" width="22.6640625" style="19" customWidth="1"/>
    <col min="6425" max="6425" width="17.1640625" style="19" customWidth="1"/>
    <col min="6426" max="6426" width="15.83203125" style="19" customWidth="1"/>
    <col min="6427" max="6427" width="15.5" style="19" customWidth="1"/>
    <col min="6428" max="6428" width="16" style="19" customWidth="1"/>
    <col min="6429" max="6429" width="9.1640625" style="19" customWidth="1"/>
    <col min="6430" max="6430" width="17.33203125" style="19" customWidth="1"/>
    <col min="6431" max="6431" width="16.5" style="19" bestFit="1" customWidth="1"/>
    <col min="6432" max="6432" width="10.83203125" style="19" bestFit="1" customWidth="1"/>
    <col min="6433" max="6669" width="9.1640625" style="19"/>
    <col min="6670" max="6670" width="29.33203125" style="19" customWidth="1"/>
    <col min="6671" max="6672" width="20.1640625" style="19" customWidth="1"/>
    <col min="6673" max="6674" width="17.1640625" style="19" customWidth="1"/>
    <col min="6675" max="6675" width="21.5" style="19" customWidth="1"/>
    <col min="6676" max="6676" width="18.33203125" style="19" customWidth="1"/>
    <col min="6677" max="6677" width="28.5" style="19" customWidth="1"/>
    <col min="6678" max="6678" width="21" style="19" customWidth="1"/>
    <col min="6679" max="6679" width="17.5" style="19" customWidth="1"/>
    <col min="6680" max="6680" width="22.6640625" style="19" customWidth="1"/>
    <col min="6681" max="6681" width="17.1640625" style="19" customWidth="1"/>
    <col min="6682" max="6682" width="15.83203125" style="19" customWidth="1"/>
    <col min="6683" max="6683" width="15.5" style="19" customWidth="1"/>
    <col min="6684" max="6684" width="16" style="19" customWidth="1"/>
    <col min="6685" max="6685" width="9.1640625" style="19" customWidth="1"/>
    <col min="6686" max="6686" width="17.33203125" style="19" customWidth="1"/>
    <col min="6687" max="6687" width="16.5" style="19" bestFit="1" customWidth="1"/>
    <col min="6688" max="6688" width="10.83203125" style="19" bestFit="1" customWidth="1"/>
    <col min="6689" max="6925" width="9.1640625" style="19"/>
    <col min="6926" max="6926" width="29.33203125" style="19" customWidth="1"/>
    <col min="6927" max="6928" width="20.1640625" style="19" customWidth="1"/>
    <col min="6929" max="6930" width="17.1640625" style="19" customWidth="1"/>
    <col min="6931" max="6931" width="21.5" style="19" customWidth="1"/>
    <col min="6932" max="6932" width="18.33203125" style="19" customWidth="1"/>
    <col min="6933" max="6933" width="28.5" style="19" customWidth="1"/>
    <col min="6934" max="6934" width="21" style="19" customWidth="1"/>
    <col min="6935" max="6935" width="17.5" style="19" customWidth="1"/>
    <col min="6936" max="6936" width="22.6640625" style="19" customWidth="1"/>
    <col min="6937" max="6937" width="17.1640625" style="19" customWidth="1"/>
    <col min="6938" max="6938" width="15.83203125" style="19" customWidth="1"/>
    <col min="6939" max="6939" width="15.5" style="19" customWidth="1"/>
    <col min="6940" max="6940" width="16" style="19" customWidth="1"/>
    <col min="6941" max="6941" width="9.1640625" style="19" customWidth="1"/>
    <col min="6942" max="6942" width="17.33203125" style="19" customWidth="1"/>
    <col min="6943" max="6943" width="16.5" style="19" bestFit="1" customWidth="1"/>
    <col min="6944" max="6944" width="10.83203125" style="19" bestFit="1" customWidth="1"/>
    <col min="6945" max="7181" width="9.1640625" style="19"/>
    <col min="7182" max="7182" width="29.33203125" style="19" customWidth="1"/>
    <col min="7183" max="7184" width="20.1640625" style="19" customWidth="1"/>
    <col min="7185" max="7186" width="17.1640625" style="19" customWidth="1"/>
    <col min="7187" max="7187" width="21.5" style="19" customWidth="1"/>
    <col min="7188" max="7188" width="18.33203125" style="19" customWidth="1"/>
    <col min="7189" max="7189" width="28.5" style="19" customWidth="1"/>
    <col min="7190" max="7190" width="21" style="19" customWidth="1"/>
    <col min="7191" max="7191" width="17.5" style="19" customWidth="1"/>
    <col min="7192" max="7192" width="22.6640625" style="19" customWidth="1"/>
    <col min="7193" max="7193" width="17.1640625" style="19" customWidth="1"/>
    <col min="7194" max="7194" width="15.83203125" style="19" customWidth="1"/>
    <col min="7195" max="7195" width="15.5" style="19" customWidth="1"/>
    <col min="7196" max="7196" width="16" style="19" customWidth="1"/>
    <col min="7197" max="7197" width="9.1640625" style="19" customWidth="1"/>
    <col min="7198" max="7198" width="17.33203125" style="19" customWidth="1"/>
    <col min="7199" max="7199" width="16.5" style="19" bestFit="1" customWidth="1"/>
    <col min="7200" max="7200" width="10.83203125" style="19" bestFit="1" customWidth="1"/>
    <col min="7201" max="7437" width="9.1640625" style="19"/>
    <col min="7438" max="7438" width="29.33203125" style="19" customWidth="1"/>
    <col min="7439" max="7440" width="20.1640625" style="19" customWidth="1"/>
    <col min="7441" max="7442" width="17.1640625" style="19" customWidth="1"/>
    <col min="7443" max="7443" width="21.5" style="19" customWidth="1"/>
    <col min="7444" max="7444" width="18.33203125" style="19" customWidth="1"/>
    <col min="7445" max="7445" width="28.5" style="19" customWidth="1"/>
    <col min="7446" max="7446" width="21" style="19" customWidth="1"/>
    <col min="7447" max="7447" width="17.5" style="19" customWidth="1"/>
    <col min="7448" max="7448" width="22.6640625" style="19" customWidth="1"/>
    <col min="7449" max="7449" width="17.1640625" style="19" customWidth="1"/>
    <col min="7450" max="7450" width="15.83203125" style="19" customWidth="1"/>
    <col min="7451" max="7451" width="15.5" style="19" customWidth="1"/>
    <col min="7452" max="7452" width="16" style="19" customWidth="1"/>
    <col min="7453" max="7453" width="9.1640625" style="19" customWidth="1"/>
    <col min="7454" max="7454" width="17.33203125" style="19" customWidth="1"/>
    <col min="7455" max="7455" width="16.5" style="19" bestFit="1" customWidth="1"/>
    <col min="7456" max="7456" width="10.83203125" style="19" bestFit="1" customWidth="1"/>
    <col min="7457" max="7693" width="9.1640625" style="19"/>
    <col min="7694" max="7694" width="29.33203125" style="19" customWidth="1"/>
    <col min="7695" max="7696" width="20.1640625" style="19" customWidth="1"/>
    <col min="7697" max="7698" width="17.1640625" style="19" customWidth="1"/>
    <col min="7699" max="7699" width="21.5" style="19" customWidth="1"/>
    <col min="7700" max="7700" width="18.33203125" style="19" customWidth="1"/>
    <col min="7701" max="7701" width="28.5" style="19" customWidth="1"/>
    <col min="7702" max="7702" width="21" style="19" customWidth="1"/>
    <col min="7703" max="7703" width="17.5" style="19" customWidth="1"/>
    <col min="7704" max="7704" width="22.6640625" style="19" customWidth="1"/>
    <col min="7705" max="7705" width="17.1640625" style="19" customWidth="1"/>
    <col min="7706" max="7706" width="15.83203125" style="19" customWidth="1"/>
    <col min="7707" max="7707" width="15.5" style="19" customWidth="1"/>
    <col min="7708" max="7708" width="16" style="19" customWidth="1"/>
    <col min="7709" max="7709" width="9.1640625" style="19" customWidth="1"/>
    <col min="7710" max="7710" width="17.33203125" style="19" customWidth="1"/>
    <col min="7711" max="7711" width="16.5" style="19" bestFit="1" customWidth="1"/>
    <col min="7712" max="7712" width="10.83203125" style="19" bestFit="1" customWidth="1"/>
    <col min="7713" max="7949" width="9.1640625" style="19"/>
    <col min="7950" max="7950" width="29.33203125" style="19" customWidth="1"/>
    <col min="7951" max="7952" width="20.1640625" style="19" customWidth="1"/>
    <col min="7953" max="7954" width="17.1640625" style="19" customWidth="1"/>
    <col min="7955" max="7955" width="21.5" style="19" customWidth="1"/>
    <col min="7956" max="7956" width="18.33203125" style="19" customWidth="1"/>
    <col min="7957" max="7957" width="28.5" style="19" customWidth="1"/>
    <col min="7958" max="7958" width="21" style="19" customWidth="1"/>
    <col min="7959" max="7959" width="17.5" style="19" customWidth="1"/>
    <col min="7960" max="7960" width="22.6640625" style="19" customWidth="1"/>
    <col min="7961" max="7961" width="17.1640625" style="19" customWidth="1"/>
    <col min="7962" max="7962" width="15.83203125" style="19" customWidth="1"/>
    <col min="7963" max="7963" width="15.5" style="19" customWidth="1"/>
    <col min="7964" max="7964" width="16" style="19" customWidth="1"/>
    <col min="7965" max="7965" width="9.1640625" style="19" customWidth="1"/>
    <col min="7966" max="7966" width="17.33203125" style="19" customWidth="1"/>
    <col min="7967" max="7967" width="16.5" style="19" bestFit="1" customWidth="1"/>
    <col min="7968" max="7968" width="10.83203125" style="19" bestFit="1" customWidth="1"/>
    <col min="7969" max="8205" width="9.1640625" style="19"/>
    <col min="8206" max="8206" width="29.33203125" style="19" customWidth="1"/>
    <col min="8207" max="8208" width="20.1640625" style="19" customWidth="1"/>
    <col min="8209" max="8210" width="17.1640625" style="19" customWidth="1"/>
    <col min="8211" max="8211" width="21.5" style="19" customWidth="1"/>
    <col min="8212" max="8212" width="18.33203125" style="19" customWidth="1"/>
    <col min="8213" max="8213" width="28.5" style="19" customWidth="1"/>
    <col min="8214" max="8214" width="21" style="19" customWidth="1"/>
    <col min="8215" max="8215" width="17.5" style="19" customWidth="1"/>
    <col min="8216" max="8216" width="22.6640625" style="19" customWidth="1"/>
    <col min="8217" max="8217" width="17.1640625" style="19" customWidth="1"/>
    <col min="8218" max="8218" width="15.83203125" style="19" customWidth="1"/>
    <col min="8219" max="8219" width="15.5" style="19" customWidth="1"/>
    <col min="8220" max="8220" width="16" style="19" customWidth="1"/>
    <col min="8221" max="8221" width="9.1640625" style="19" customWidth="1"/>
    <col min="8222" max="8222" width="17.33203125" style="19" customWidth="1"/>
    <col min="8223" max="8223" width="16.5" style="19" bestFit="1" customWidth="1"/>
    <col min="8224" max="8224" width="10.83203125" style="19" bestFit="1" customWidth="1"/>
    <col min="8225" max="8461" width="9.1640625" style="19"/>
    <col min="8462" max="8462" width="29.33203125" style="19" customWidth="1"/>
    <col min="8463" max="8464" width="20.1640625" style="19" customWidth="1"/>
    <col min="8465" max="8466" width="17.1640625" style="19" customWidth="1"/>
    <col min="8467" max="8467" width="21.5" style="19" customWidth="1"/>
    <col min="8468" max="8468" width="18.33203125" style="19" customWidth="1"/>
    <col min="8469" max="8469" width="28.5" style="19" customWidth="1"/>
    <col min="8470" max="8470" width="21" style="19" customWidth="1"/>
    <col min="8471" max="8471" width="17.5" style="19" customWidth="1"/>
    <col min="8472" max="8472" width="22.6640625" style="19" customWidth="1"/>
    <col min="8473" max="8473" width="17.1640625" style="19" customWidth="1"/>
    <col min="8474" max="8474" width="15.83203125" style="19" customWidth="1"/>
    <col min="8475" max="8475" width="15.5" style="19" customWidth="1"/>
    <col min="8476" max="8476" width="16" style="19" customWidth="1"/>
    <col min="8477" max="8477" width="9.1640625" style="19" customWidth="1"/>
    <col min="8478" max="8478" width="17.33203125" style="19" customWidth="1"/>
    <col min="8479" max="8479" width="16.5" style="19" bestFit="1" customWidth="1"/>
    <col min="8480" max="8480" width="10.83203125" style="19" bestFit="1" customWidth="1"/>
    <col min="8481" max="8717" width="9.1640625" style="19"/>
    <col min="8718" max="8718" width="29.33203125" style="19" customWidth="1"/>
    <col min="8719" max="8720" width="20.1640625" style="19" customWidth="1"/>
    <col min="8721" max="8722" width="17.1640625" style="19" customWidth="1"/>
    <col min="8723" max="8723" width="21.5" style="19" customWidth="1"/>
    <col min="8724" max="8724" width="18.33203125" style="19" customWidth="1"/>
    <col min="8725" max="8725" width="28.5" style="19" customWidth="1"/>
    <col min="8726" max="8726" width="21" style="19" customWidth="1"/>
    <col min="8727" max="8727" width="17.5" style="19" customWidth="1"/>
    <col min="8728" max="8728" width="22.6640625" style="19" customWidth="1"/>
    <col min="8729" max="8729" width="17.1640625" style="19" customWidth="1"/>
    <col min="8730" max="8730" width="15.83203125" style="19" customWidth="1"/>
    <col min="8731" max="8731" width="15.5" style="19" customWidth="1"/>
    <col min="8732" max="8732" width="16" style="19" customWidth="1"/>
    <col min="8733" max="8733" width="9.1640625" style="19" customWidth="1"/>
    <col min="8734" max="8734" width="17.33203125" style="19" customWidth="1"/>
    <col min="8735" max="8735" width="16.5" style="19" bestFit="1" customWidth="1"/>
    <col min="8736" max="8736" width="10.83203125" style="19" bestFit="1" customWidth="1"/>
    <col min="8737" max="8973" width="9.1640625" style="19"/>
    <col min="8974" max="8974" width="29.33203125" style="19" customWidth="1"/>
    <col min="8975" max="8976" width="20.1640625" style="19" customWidth="1"/>
    <col min="8977" max="8978" width="17.1640625" style="19" customWidth="1"/>
    <col min="8979" max="8979" width="21.5" style="19" customWidth="1"/>
    <col min="8980" max="8980" width="18.33203125" style="19" customWidth="1"/>
    <col min="8981" max="8981" width="28.5" style="19" customWidth="1"/>
    <col min="8982" max="8982" width="21" style="19" customWidth="1"/>
    <col min="8983" max="8983" width="17.5" style="19" customWidth="1"/>
    <col min="8984" max="8984" width="22.6640625" style="19" customWidth="1"/>
    <col min="8985" max="8985" width="17.1640625" style="19" customWidth="1"/>
    <col min="8986" max="8986" width="15.83203125" style="19" customWidth="1"/>
    <col min="8987" max="8987" width="15.5" style="19" customWidth="1"/>
    <col min="8988" max="8988" width="16" style="19" customWidth="1"/>
    <col min="8989" max="8989" width="9.1640625" style="19" customWidth="1"/>
    <col min="8990" max="8990" width="17.33203125" style="19" customWidth="1"/>
    <col min="8991" max="8991" width="16.5" style="19" bestFit="1" customWidth="1"/>
    <col min="8992" max="8992" width="10.83203125" style="19" bestFit="1" customWidth="1"/>
    <col min="8993" max="9229" width="9.1640625" style="19"/>
    <col min="9230" max="9230" width="29.33203125" style="19" customWidth="1"/>
    <col min="9231" max="9232" width="20.1640625" style="19" customWidth="1"/>
    <col min="9233" max="9234" width="17.1640625" style="19" customWidth="1"/>
    <col min="9235" max="9235" width="21.5" style="19" customWidth="1"/>
    <col min="9236" max="9236" width="18.33203125" style="19" customWidth="1"/>
    <col min="9237" max="9237" width="28.5" style="19" customWidth="1"/>
    <col min="9238" max="9238" width="21" style="19" customWidth="1"/>
    <col min="9239" max="9239" width="17.5" style="19" customWidth="1"/>
    <col min="9240" max="9240" width="22.6640625" style="19" customWidth="1"/>
    <col min="9241" max="9241" width="17.1640625" style="19" customWidth="1"/>
    <col min="9242" max="9242" width="15.83203125" style="19" customWidth="1"/>
    <col min="9243" max="9243" width="15.5" style="19" customWidth="1"/>
    <col min="9244" max="9244" width="16" style="19" customWidth="1"/>
    <col min="9245" max="9245" width="9.1640625" style="19" customWidth="1"/>
    <col min="9246" max="9246" width="17.33203125" style="19" customWidth="1"/>
    <col min="9247" max="9247" width="16.5" style="19" bestFit="1" customWidth="1"/>
    <col min="9248" max="9248" width="10.83203125" style="19" bestFit="1" customWidth="1"/>
    <col min="9249" max="9485" width="9.1640625" style="19"/>
    <col min="9486" max="9486" width="29.33203125" style="19" customWidth="1"/>
    <col min="9487" max="9488" width="20.1640625" style="19" customWidth="1"/>
    <col min="9489" max="9490" width="17.1640625" style="19" customWidth="1"/>
    <col min="9491" max="9491" width="21.5" style="19" customWidth="1"/>
    <col min="9492" max="9492" width="18.33203125" style="19" customWidth="1"/>
    <col min="9493" max="9493" width="28.5" style="19" customWidth="1"/>
    <col min="9494" max="9494" width="21" style="19" customWidth="1"/>
    <col min="9495" max="9495" width="17.5" style="19" customWidth="1"/>
    <col min="9496" max="9496" width="22.6640625" style="19" customWidth="1"/>
    <col min="9497" max="9497" width="17.1640625" style="19" customWidth="1"/>
    <col min="9498" max="9498" width="15.83203125" style="19" customWidth="1"/>
    <col min="9499" max="9499" width="15.5" style="19" customWidth="1"/>
    <col min="9500" max="9500" width="16" style="19" customWidth="1"/>
    <col min="9501" max="9501" width="9.1640625" style="19" customWidth="1"/>
    <col min="9502" max="9502" width="17.33203125" style="19" customWidth="1"/>
    <col min="9503" max="9503" width="16.5" style="19" bestFit="1" customWidth="1"/>
    <col min="9504" max="9504" width="10.83203125" style="19" bestFit="1" customWidth="1"/>
    <col min="9505" max="9741" width="9.1640625" style="19"/>
    <col min="9742" max="9742" width="29.33203125" style="19" customWidth="1"/>
    <col min="9743" max="9744" width="20.1640625" style="19" customWidth="1"/>
    <col min="9745" max="9746" width="17.1640625" style="19" customWidth="1"/>
    <col min="9747" max="9747" width="21.5" style="19" customWidth="1"/>
    <col min="9748" max="9748" width="18.33203125" style="19" customWidth="1"/>
    <col min="9749" max="9749" width="28.5" style="19" customWidth="1"/>
    <col min="9750" max="9750" width="21" style="19" customWidth="1"/>
    <col min="9751" max="9751" width="17.5" style="19" customWidth="1"/>
    <col min="9752" max="9752" width="22.6640625" style="19" customWidth="1"/>
    <col min="9753" max="9753" width="17.1640625" style="19" customWidth="1"/>
    <col min="9754" max="9754" width="15.83203125" style="19" customWidth="1"/>
    <col min="9755" max="9755" width="15.5" style="19" customWidth="1"/>
    <col min="9756" max="9756" width="16" style="19" customWidth="1"/>
    <col min="9757" max="9757" width="9.1640625" style="19" customWidth="1"/>
    <col min="9758" max="9758" width="17.33203125" style="19" customWidth="1"/>
    <col min="9759" max="9759" width="16.5" style="19" bestFit="1" customWidth="1"/>
    <col min="9760" max="9760" width="10.83203125" style="19" bestFit="1" customWidth="1"/>
    <col min="9761" max="9997" width="9.1640625" style="19"/>
    <col min="9998" max="9998" width="29.33203125" style="19" customWidth="1"/>
    <col min="9999" max="10000" width="20.1640625" style="19" customWidth="1"/>
    <col min="10001" max="10002" width="17.1640625" style="19" customWidth="1"/>
    <col min="10003" max="10003" width="21.5" style="19" customWidth="1"/>
    <col min="10004" max="10004" width="18.33203125" style="19" customWidth="1"/>
    <col min="10005" max="10005" width="28.5" style="19" customWidth="1"/>
    <col min="10006" max="10006" width="21" style="19" customWidth="1"/>
    <col min="10007" max="10007" width="17.5" style="19" customWidth="1"/>
    <col min="10008" max="10008" width="22.6640625" style="19" customWidth="1"/>
    <col min="10009" max="10009" width="17.1640625" style="19" customWidth="1"/>
    <col min="10010" max="10010" width="15.83203125" style="19" customWidth="1"/>
    <col min="10011" max="10011" width="15.5" style="19" customWidth="1"/>
    <col min="10012" max="10012" width="16" style="19" customWidth="1"/>
    <col min="10013" max="10013" width="9.1640625" style="19" customWidth="1"/>
    <col min="10014" max="10014" width="17.33203125" style="19" customWidth="1"/>
    <col min="10015" max="10015" width="16.5" style="19" bestFit="1" customWidth="1"/>
    <col min="10016" max="10016" width="10.83203125" style="19" bestFit="1" customWidth="1"/>
    <col min="10017" max="10253" width="9.1640625" style="19"/>
    <col min="10254" max="10254" width="29.33203125" style="19" customWidth="1"/>
    <col min="10255" max="10256" width="20.1640625" style="19" customWidth="1"/>
    <col min="10257" max="10258" width="17.1640625" style="19" customWidth="1"/>
    <col min="10259" max="10259" width="21.5" style="19" customWidth="1"/>
    <col min="10260" max="10260" width="18.33203125" style="19" customWidth="1"/>
    <col min="10261" max="10261" width="28.5" style="19" customWidth="1"/>
    <col min="10262" max="10262" width="21" style="19" customWidth="1"/>
    <col min="10263" max="10263" width="17.5" style="19" customWidth="1"/>
    <col min="10264" max="10264" width="22.6640625" style="19" customWidth="1"/>
    <col min="10265" max="10265" width="17.1640625" style="19" customWidth="1"/>
    <col min="10266" max="10266" width="15.83203125" style="19" customWidth="1"/>
    <col min="10267" max="10267" width="15.5" style="19" customWidth="1"/>
    <col min="10268" max="10268" width="16" style="19" customWidth="1"/>
    <col min="10269" max="10269" width="9.1640625" style="19" customWidth="1"/>
    <col min="10270" max="10270" width="17.33203125" style="19" customWidth="1"/>
    <col min="10271" max="10271" width="16.5" style="19" bestFit="1" customWidth="1"/>
    <col min="10272" max="10272" width="10.83203125" style="19" bestFit="1" customWidth="1"/>
    <col min="10273" max="10509" width="9.1640625" style="19"/>
    <col min="10510" max="10510" width="29.33203125" style="19" customWidth="1"/>
    <col min="10511" max="10512" width="20.1640625" style="19" customWidth="1"/>
    <col min="10513" max="10514" width="17.1640625" style="19" customWidth="1"/>
    <col min="10515" max="10515" width="21.5" style="19" customWidth="1"/>
    <col min="10516" max="10516" width="18.33203125" style="19" customWidth="1"/>
    <col min="10517" max="10517" width="28.5" style="19" customWidth="1"/>
    <col min="10518" max="10518" width="21" style="19" customWidth="1"/>
    <col min="10519" max="10519" width="17.5" style="19" customWidth="1"/>
    <col min="10520" max="10520" width="22.6640625" style="19" customWidth="1"/>
    <col min="10521" max="10521" width="17.1640625" style="19" customWidth="1"/>
    <col min="10522" max="10522" width="15.83203125" style="19" customWidth="1"/>
    <col min="10523" max="10523" width="15.5" style="19" customWidth="1"/>
    <col min="10524" max="10524" width="16" style="19" customWidth="1"/>
    <col min="10525" max="10525" width="9.1640625" style="19" customWidth="1"/>
    <col min="10526" max="10526" width="17.33203125" style="19" customWidth="1"/>
    <col min="10527" max="10527" width="16.5" style="19" bestFit="1" customWidth="1"/>
    <col min="10528" max="10528" width="10.83203125" style="19" bestFit="1" customWidth="1"/>
    <col min="10529" max="10765" width="9.1640625" style="19"/>
    <col min="10766" max="10766" width="29.33203125" style="19" customWidth="1"/>
    <col min="10767" max="10768" width="20.1640625" style="19" customWidth="1"/>
    <col min="10769" max="10770" width="17.1640625" style="19" customWidth="1"/>
    <col min="10771" max="10771" width="21.5" style="19" customWidth="1"/>
    <col min="10772" max="10772" width="18.33203125" style="19" customWidth="1"/>
    <col min="10773" max="10773" width="28.5" style="19" customWidth="1"/>
    <col min="10774" max="10774" width="21" style="19" customWidth="1"/>
    <col min="10775" max="10775" width="17.5" style="19" customWidth="1"/>
    <col min="10776" max="10776" width="22.6640625" style="19" customWidth="1"/>
    <col min="10777" max="10777" width="17.1640625" style="19" customWidth="1"/>
    <col min="10778" max="10778" width="15.83203125" style="19" customWidth="1"/>
    <col min="10779" max="10779" width="15.5" style="19" customWidth="1"/>
    <col min="10780" max="10780" width="16" style="19" customWidth="1"/>
    <col min="10781" max="10781" width="9.1640625" style="19" customWidth="1"/>
    <col min="10782" max="10782" width="17.33203125" style="19" customWidth="1"/>
    <col min="10783" max="10783" width="16.5" style="19" bestFit="1" customWidth="1"/>
    <col min="10784" max="10784" width="10.83203125" style="19" bestFit="1" customWidth="1"/>
    <col min="10785" max="11021" width="9.1640625" style="19"/>
    <col min="11022" max="11022" width="29.33203125" style="19" customWidth="1"/>
    <col min="11023" max="11024" width="20.1640625" style="19" customWidth="1"/>
    <col min="11025" max="11026" width="17.1640625" style="19" customWidth="1"/>
    <col min="11027" max="11027" width="21.5" style="19" customWidth="1"/>
    <col min="11028" max="11028" width="18.33203125" style="19" customWidth="1"/>
    <col min="11029" max="11029" width="28.5" style="19" customWidth="1"/>
    <col min="11030" max="11030" width="21" style="19" customWidth="1"/>
    <col min="11031" max="11031" width="17.5" style="19" customWidth="1"/>
    <col min="11032" max="11032" width="22.6640625" style="19" customWidth="1"/>
    <col min="11033" max="11033" width="17.1640625" style="19" customWidth="1"/>
    <col min="11034" max="11034" width="15.83203125" style="19" customWidth="1"/>
    <col min="11035" max="11035" width="15.5" style="19" customWidth="1"/>
    <col min="11036" max="11036" width="16" style="19" customWidth="1"/>
    <col min="11037" max="11037" width="9.1640625" style="19" customWidth="1"/>
    <col min="11038" max="11038" width="17.33203125" style="19" customWidth="1"/>
    <col min="11039" max="11039" width="16.5" style="19" bestFit="1" customWidth="1"/>
    <col min="11040" max="11040" width="10.83203125" style="19" bestFit="1" customWidth="1"/>
    <col min="11041" max="11277" width="9.1640625" style="19"/>
    <col min="11278" max="11278" width="29.33203125" style="19" customWidth="1"/>
    <col min="11279" max="11280" width="20.1640625" style="19" customWidth="1"/>
    <col min="11281" max="11282" width="17.1640625" style="19" customWidth="1"/>
    <col min="11283" max="11283" width="21.5" style="19" customWidth="1"/>
    <col min="11284" max="11284" width="18.33203125" style="19" customWidth="1"/>
    <col min="11285" max="11285" width="28.5" style="19" customWidth="1"/>
    <col min="11286" max="11286" width="21" style="19" customWidth="1"/>
    <col min="11287" max="11287" width="17.5" style="19" customWidth="1"/>
    <col min="11288" max="11288" width="22.6640625" style="19" customWidth="1"/>
    <col min="11289" max="11289" width="17.1640625" style="19" customWidth="1"/>
    <col min="11290" max="11290" width="15.83203125" style="19" customWidth="1"/>
    <col min="11291" max="11291" width="15.5" style="19" customWidth="1"/>
    <col min="11292" max="11292" width="16" style="19" customWidth="1"/>
    <col min="11293" max="11293" width="9.1640625" style="19" customWidth="1"/>
    <col min="11294" max="11294" width="17.33203125" style="19" customWidth="1"/>
    <col min="11295" max="11295" width="16.5" style="19" bestFit="1" customWidth="1"/>
    <col min="11296" max="11296" width="10.83203125" style="19" bestFit="1" customWidth="1"/>
    <col min="11297" max="11533" width="9.1640625" style="19"/>
    <col min="11534" max="11534" width="29.33203125" style="19" customWidth="1"/>
    <col min="11535" max="11536" width="20.1640625" style="19" customWidth="1"/>
    <col min="11537" max="11538" width="17.1640625" style="19" customWidth="1"/>
    <col min="11539" max="11539" width="21.5" style="19" customWidth="1"/>
    <col min="11540" max="11540" width="18.33203125" style="19" customWidth="1"/>
    <col min="11541" max="11541" width="28.5" style="19" customWidth="1"/>
    <col min="11542" max="11542" width="21" style="19" customWidth="1"/>
    <col min="11543" max="11543" width="17.5" style="19" customWidth="1"/>
    <col min="11544" max="11544" width="22.6640625" style="19" customWidth="1"/>
    <col min="11545" max="11545" width="17.1640625" style="19" customWidth="1"/>
    <col min="11546" max="11546" width="15.83203125" style="19" customWidth="1"/>
    <col min="11547" max="11547" width="15.5" style="19" customWidth="1"/>
    <col min="11548" max="11548" width="16" style="19" customWidth="1"/>
    <col min="11549" max="11549" width="9.1640625" style="19" customWidth="1"/>
    <col min="11550" max="11550" width="17.33203125" style="19" customWidth="1"/>
    <col min="11551" max="11551" width="16.5" style="19" bestFit="1" customWidth="1"/>
    <col min="11552" max="11552" width="10.83203125" style="19" bestFit="1" customWidth="1"/>
    <col min="11553" max="11789" width="9.1640625" style="19"/>
    <col min="11790" max="11790" width="29.33203125" style="19" customWidth="1"/>
    <col min="11791" max="11792" width="20.1640625" style="19" customWidth="1"/>
    <col min="11793" max="11794" width="17.1640625" style="19" customWidth="1"/>
    <col min="11795" max="11795" width="21.5" style="19" customWidth="1"/>
    <col min="11796" max="11796" width="18.33203125" style="19" customWidth="1"/>
    <col min="11797" max="11797" width="28.5" style="19" customWidth="1"/>
    <col min="11798" max="11798" width="21" style="19" customWidth="1"/>
    <col min="11799" max="11799" width="17.5" style="19" customWidth="1"/>
    <col min="11800" max="11800" width="22.6640625" style="19" customWidth="1"/>
    <col min="11801" max="11801" width="17.1640625" style="19" customWidth="1"/>
    <col min="11802" max="11802" width="15.83203125" style="19" customWidth="1"/>
    <col min="11803" max="11803" width="15.5" style="19" customWidth="1"/>
    <col min="11804" max="11804" width="16" style="19" customWidth="1"/>
    <col min="11805" max="11805" width="9.1640625" style="19" customWidth="1"/>
    <col min="11806" max="11806" width="17.33203125" style="19" customWidth="1"/>
    <col min="11807" max="11807" width="16.5" style="19" bestFit="1" customWidth="1"/>
    <col min="11808" max="11808" width="10.83203125" style="19" bestFit="1" customWidth="1"/>
    <col min="11809" max="12045" width="9.1640625" style="19"/>
    <col min="12046" max="12046" width="29.33203125" style="19" customWidth="1"/>
    <col min="12047" max="12048" width="20.1640625" style="19" customWidth="1"/>
    <col min="12049" max="12050" width="17.1640625" style="19" customWidth="1"/>
    <col min="12051" max="12051" width="21.5" style="19" customWidth="1"/>
    <col min="12052" max="12052" width="18.33203125" style="19" customWidth="1"/>
    <col min="12053" max="12053" width="28.5" style="19" customWidth="1"/>
    <col min="12054" max="12054" width="21" style="19" customWidth="1"/>
    <col min="12055" max="12055" width="17.5" style="19" customWidth="1"/>
    <col min="12056" max="12056" width="22.6640625" style="19" customWidth="1"/>
    <col min="12057" max="12057" width="17.1640625" style="19" customWidth="1"/>
    <col min="12058" max="12058" width="15.83203125" style="19" customWidth="1"/>
    <col min="12059" max="12059" width="15.5" style="19" customWidth="1"/>
    <col min="12060" max="12060" width="16" style="19" customWidth="1"/>
    <col min="12061" max="12061" width="9.1640625" style="19" customWidth="1"/>
    <col min="12062" max="12062" width="17.33203125" style="19" customWidth="1"/>
    <col min="12063" max="12063" width="16.5" style="19" bestFit="1" customWidth="1"/>
    <col min="12064" max="12064" width="10.83203125" style="19" bestFit="1" customWidth="1"/>
    <col min="12065" max="12301" width="9.1640625" style="19"/>
    <col min="12302" max="12302" width="29.33203125" style="19" customWidth="1"/>
    <col min="12303" max="12304" width="20.1640625" style="19" customWidth="1"/>
    <col min="12305" max="12306" width="17.1640625" style="19" customWidth="1"/>
    <col min="12307" max="12307" width="21.5" style="19" customWidth="1"/>
    <col min="12308" max="12308" width="18.33203125" style="19" customWidth="1"/>
    <col min="12309" max="12309" width="28.5" style="19" customWidth="1"/>
    <col min="12310" max="12310" width="21" style="19" customWidth="1"/>
    <col min="12311" max="12311" width="17.5" style="19" customWidth="1"/>
    <col min="12312" max="12312" width="22.6640625" style="19" customWidth="1"/>
    <col min="12313" max="12313" width="17.1640625" style="19" customWidth="1"/>
    <col min="12314" max="12314" width="15.83203125" style="19" customWidth="1"/>
    <col min="12315" max="12315" width="15.5" style="19" customWidth="1"/>
    <col min="12316" max="12316" width="16" style="19" customWidth="1"/>
    <col min="12317" max="12317" width="9.1640625" style="19" customWidth="1"/>
    <col min="12318" max="12318" width="17.33203125" style="19" customWidth="1"/>
    <col min="12319" max="12319" width="16.5" style="19" bestFit="1" customWidth="1"/>
    <col min="12320" max="12320" width="10.83203125" style="19" bestFit="1" customWidth="1"/>
    <col min="12321" max="12557" width="9.1640625" style="19"/>
    <col min="12558" max="12558" width="29.33203125" style="19" customWidth="1"/>
    <col min="12559" max="12560" width="20.1640625" style="19" customWidth="1"/>
    <col min="12561" max="12562" width="17.1640625" style="19" customWidth="1"/>
    <col min="12563" max="12563" width="21.5" style="19" customWidth="1"/>
    <col min="12564" max="12564" width="18.33203125" style="19" customWidth="1"/>
    <col min="12565" max="12565" width="28.5" style="19" customWidth="1"/>
    <col min="12566" max="12566" width="21" style="19" customWidth="1"/>
    <col min="12567" max="12567" width="17.5" style="19" customWidth="1"/>
    <col min="12568" max="12568" width="22.6640625" style="19" customWidth="1"/>
    <col min="12569" max="12569" width="17.1640625" style="19" customWidth="1"/>
    <col min="12570" max="12570" width="15.83203125" style="19" customWidth="1"/>
    <col min="12571" max="12571" width="15.5" style="19" customWidth="1"/>
    <col min="12572" max="12572" width="16" style="19" customWidth="1"/>
    <col min="12573" max="12573" width="9.1640625" style="19" customWidth="1"/>
    <col min="12574" max="12574" width="17.33203125" style="19" customWidth="1"/>
    <col min="12575" max="12575" width="16.5" style="19" bestFit="1" customWidth="1"/>
    <col min="12576" max="12576" width="10.83203125" style="19" bestFit="1" customWidth="1"/>
    <col min="12577" max="12813" width="9.1640625" style="19"/>
    <col min="12814" max="12814" width="29.33203125" style="19" customWidth="1"/>
    <col min="12815" max="12816" width="20.1640625" style="19" customWidth="1"/>
    <col min="12817" max="12818" width="17.1640625" style="19" customWidth="1"/>
    <col min="12819" max="12819" width="21.5" style="19" customWidth="1"/>
    <col min="12820" max="12820" width="18.33203125" style="19" customWidth="1"/>
    <col min="12821" max="12821" width="28.5" style="19" customWidth="1"/>
    <col min="12822" max="12822" width="21" style="19" customWidth="1"/>
    <col min="12823" max="12823" width="17.5" style="19" customWidth="1"/>
    <col min="12824" max="12824" width="22.6640625" style="19" customWidth="1"/>
    <col min="12825" max="12825" width="17.1640625" style="19" customWidth="1"/>
    <col min="12826" max="12826" width="15.83203125" style="19" customWidth="1"/>
    <col min="12827" max="12827" width="15.5" style="19" customWidth="1"/>
    <col min="12828" max="12828" width="16" style="19" customWidth="1"/>
    <col min="12829" max="12829" width="9.1640625" style="19" customWidth="1"/>
    <col min="12830" max="12830" width="17.33203125" style="19" customWidth="1"/>
    <col min="12831" max="12831" width="16.5" style="19" bestFit="1" customWidth="1"/>
    <col min="12832" max="12832" width="10.83203125" style="19" bestFit="1" customWidth="1"/>
    <col min="12833" max="13069" width="9.1640625" style="19"/>
    <col min="13070" max="13070" width="29.33203125" style="19" customWidth="1"/>
    <col min="13071" max="13072" width="20.1640625" style="19" customWidth="1"/>
    <col min="13073" max="13074" width="17.1640625" style="19" customWidth="1"/>
    <col min="13075" max="13075" width="21.5" style="19" customWidth="1"/>
    <col min="13076" max="13076" width="18.33203125" style="19" customWidth="1"/>
    <col min="13077" max="13077" width="28.5" style="19" customWidth="1"/>
    <col min="13078" max="13078" width="21" style="19" customWidth="1"/>
    <col min="13079" max="13079" width="17.5" style="19" customWidth="1"/>
    <col min="13080" max="13080" width="22.6640625" style="19" customWidth="1"/>
    <col min="13081" max="13081" width="17.1640625" style="19" customWidth="1"/>
    <col min="13082" max="13082" width="15.83203125" style="19" customWidth="1"/>
    <col min="13083" max="13083" width="15.5" style="19" customWidth="1"/>
    <col min="13084" max="13084" width="16" style="19" customWidth="1"/>
    <col min="13085" max="13085" width="9.1640625" style="19" customWidth="1"/>
    <col min="13086" max="13086" width="17.33203125" style="19" customWidth="1"/>
    <col min="13087" max="13087" width="16.5" style="19" bestFit="1" customWidth="1"/>
    <col min="13088" max="13088" width="10.83203125" style="19" bestFit="1" customWidth="1"/>
    <col min="13089" max="13325" width="9.1640625" style="19"/>
    <col min="13326" max="13326" width="29.33203125" style="19" customWidth="1"/>
    <col min="13327" max="13328" width="20.1640625" style="19" customWidth="1"/>
    <col min="13329" max="13330" width="17.1640625" style="19" customWidth="1"/>
    <col min="13331" max="13331" width="21.5" style="19" customWidth="1"/>
    <col min="13332" max="13332" width="18.33203125" style="19" customWidth="1"/>
    <col min="13333" max="13333" width="28.5" style="19" customWidth="1"/>
    <col min="13334" max="13334" width="21" style="19" customWidth="1"/>
    <col min="13335" max="13335" width="17.5" style="19" customWidth="1"/>
    <col min="13336" max="13336" width="22.6640625" style="19" customWidth="1"/>
    <col min="13337" max="13337" width="17.1640625" style="19" customWidth="1"/>
    <col min="13338" max="13338" width="15.83203125" style="19" customWidth="1"/>
    <col min="13339" max="13339" width="15.5" style="19" customWidth="1"/>
    <col min="13340" max="13340" width="16" style="19" customWidth="1"/>
    <col min="13341" max="13341" width="9.1640625" style="19" customWidth="1"/>
    <col min="13342" max="13342" width="17.33203125" style="19" customWidth="1"/>
    <col min="13343" max="13343" width="16.5" style="19" bestFit="1" customWidth="1"/>
    <col min="13344" max="13344" width="10.83203125" style="19" bestFit="1" customWidth="1"/>
    <col min="13345" max="13581" width="9.1640625" style="19"/>
    <col min="13582" max="13582" width="29.33203125" style="19" customWidth="1"/>
    <col min="13583" max="13584" width="20.1640625" style="19" customWidth="1"/>
    <col min="13585" max="13586" width="17.1640625" style="19" customWidth="1"/>
    <col min="13587" max="13587" width="21.5" style="19" customWidth="1"/>
    <col min="13588" max="13588" width="18.33203125" style="19" customWidth="1"/>
    <col min="13589" max="13589" width="28.5" style="19" customWidth="1"/>
    <col min="13590" max="13590" width="21" style="19" customWidth="1"/>
    <col min="13591" max="13591" width="17.5" style="19" customWidth="1"/>
    <col min="13592" max="13592" width="22.6640625" style="19" customWidth="1"/>
    <col min="13593" max="13593" width="17.1640625" style="19" customWidth="1"/>
    <col min="13594" max="13594" width="15.83203125" style="19" customWidth="1"/>
    <col min="13595" max="13595" width="15.5" style="19" customWidth="1"/>
    <col min="13596" max="13596" width="16" style="19" customWidth="1"/>
    <col min="13597" max="13597" width="9.1640625" style="19" customWidth="1"/>
    <col min="13598" max="13598" width="17.33203125" style="19" customWidth="1"/>
    <col min="13599" max="13599" width="16.5" style="19" bestFit="1" customWidth="1"/>
    <col min="13600" max="13600" width="10.83203125" style="19" bestFit="1" customWidth="1"/>
    <col min="13601" max="13837" width="9.1640625" style="19"/>
    <col min="13838" max="13838" width="29.33203125" style="19" customWidth="1"/>
    <col min="13839" max="13840" width="20.1640625" style="19" customWidth="1"/>
    <col min="13841" max="13842" width="17.1640625" style="19" customWidth="1"/>
    <col min="13843" max="13843" width="21.5" style="19" customWidth="1"/>
    <col min="13844" max="13844" width="18.33203125" style="19" customWidth="1"/>
    <col min="13845" max="13845" width="28.5" style="19" customWidth="1"/>
    <col min="13846" max="13846" width="21" style="19" customWidth="1"/>
    <col min="13847" max="13847" width="17.5" style="19" customWidth="1"/>
    <col min="13848" max="13848" width="22.6640625" style="19" customWidth="1"/>
    <col min="13849" max="13849" width="17.1640625" style="19" customWidth="1"/>
    <col min="13850" max="13850" width="15.83203125" style="19" customWidth="1"/>
    <col min="13851" max="13851" width="15.5" style="19" customWidth="1"/>
    <col min="13852" max="13852" width="16" style="19" customWidth="1"/>
    <col min="13853" max="13853" width="9.1640625" style="19" customWidth="1"/>
    <col min="13854" max="13854" width="17.33203125" style="19" customWidth="1"/>
    <col min="13855" max="13855" width="16.5" style="19" bestFit="1" customWidth="1"/>
    <col min="13856" max="13856" width="10.83203125" style="19" bestFit="1" customWidth="1"/>
    <col min="13857" max="14093" width="9.1640625" style="19"/>
    <col min="14094" max="14094" width="29.33203125" style="19" customWidth="1"/>
    <col min="14095" max="14096" width="20.1640625" style="19" customWidth="1"/>
    <col min="14097" max="14098" width="17.1640625" style="19" customWidth="1"/>
    <col min="14099" max="14099" width="21.5" style="19" customWidth="1"/>
    <col min="14100" max="14100" width="18.33203125" style="19" customWidth="1"/>
    <col min="14101" max="14101" width="28.5" style="19" customWidth="1"/>
    <col min="14102" max="14102" width="21" style="19" customWidth="1"/>
    <col min="14103" max="14103" width="17.5" style="19" customWidth="1"/>
    <col min="14104" max="14104" width="22.6640625" style="19" customWidth="1"/>
    <col min="14105" max="14105" width="17.1640625" style="19" customWidth="1"/>
    <col min="14106" max="14106" width="15.83203125" style="19" customWidth="1"/>
    <col min="14107" max="14107" width="15.5" style="19" customWidth="1"/>
    <col min="14108" max="14108" width="16" style="19" customWidth="1"/>
    <col min="14109" max="14109" width="9.1640625" style="19" customWidth="1"/>
    <col min="14110" max="14110" width="17.33203125" style="19" customWidth="1"/>
    <col min="14111" max="14111" width="16.5" style="19" bestFit="1" customWidth="1"/>
    <col min="14112" max="14112" width="10.83203125" style="19" bestFit="1" customWidth="1"/>
    <col min="14113" max="14349" width="9.1640625" style="19"/>
    <col min="14350" max="14350" width="29.33203125" style="19" customWidth="1"/>
    <col min="14351" max="14352" width="20.1640625" style="19" customWidth="1"/>
    <col min="14353" max="14354" width="17.1640625" style="19" customWidth="1"/>
    <col min="14355" max="14355" width="21.5" style="19" customWidth="1"/>
    <col min="14356" max="14356" width="18.33203125" style="19" customWidth="1"/>
    <col min="14357" max="14357" width="28.5" style="19" customWidth="1"/>
    <col min="14358" max="14358" width="21" style="19" customWidth="1"/>
    <col min="14359" max="14359" width="17.5" style="19" customWidth="1"/>
    <col min="14360" max="14360" width="22.6640625" style="19" customWidth="1"/>
    <col min="14361" max="14361" width="17.1640625" style="19" customWidth="1"/>
    <col min="14362" max="14362" width="15.83203125" style="19" customWidth="1"/>
    <col min="14363" max="14363" width="15.5" style="19" customWidth="1"/>
    <col min="14364" max="14364" width="16" style="19" customWidth="1"/>
    <col min="14365" max="14365" width="9.1640625" style="19" customWidth="1"/>
    <col min="14366" max="14366" width="17.33203125" style="19" customWidth="1"/>
    <col min="14367" max="14367" width="16.5" style="19" bestFit="1" customWidth="1"/>
    <col min="14368" max="14368" width="10.83203125" style="19" bestFit="1" customWidth="1"/>
    <col min="14369" max="14605" width="9.1640625" style="19"/>
    <col min="14606" max="14606" width="29.33203125" style="19" customWidth="1"/>
    <col min="14607" max="14608" width="20.1640625" style="19" customWidth="1"/>
    <col min="14609" max="14610" width="17.1640625" style="19" customWidth="1"/>
    <col min="14611" max="14611" width="21.5" style="19" customWidth="1"/>
    <col min="14612" max="14612" width="18.33203125" style="19" customWidth="1"/>
    <col min="14613" max="14613" width="28.5" style="19" customWidth="1"/>
    <col min="14614" max="14614" width="21" style="19" customWidth="1"/>
    <col min="14615" max="14615" width="17.5" style="19" customWidth="1"/>
    <col min="14616" max="14616" width="22.6640625" style="19" customWidth="1"/>
    <col min="14617" max="14617" width="17.1640625" style="19" customWidth="1"/>
    <col min="14618" max="14618" width="15.83203125" style="19" customWidth="1"/>
    <col min="14619" max="14619" width="15.5" style="19" customWidth="1"/>
    <col min="14620" max="14620" width="16" style="19" customWidth="1"/>
    <col min="14621" max="14621" width="9.1640625" style="19" customWidth="1"/>
    <col min="14622" max="14622" width="17.33203125" style="19" customWidth="1"/>
    <col min="14623" max="14623" width="16.5" style="19" bestFit="1" customWidth="1"/>
    <col min="14624" max="14624" width="10.83203125" style="19" bestFit="1" customWidth="1"/>
    <col min="14625" max="14861" width="9.1640625" style="19"/>
    <col min="14862" max="14862" width="29.33203125" style="19" customWidth="1"/>
    <col min="14863" max="14864" width="20.1640625" style="19" customWidth="1"/>
    <col min="14865" max="14866" width="17.1640625" style="19" customWidth="1"/>
    <col min="14867" max="14867" width="21.5" style="19" customWidth="1"/>
    <col min="14868" max="14868" width="18.33203125" style="19" customWidth="1"/>
    <col min="14869" max="14869" width="28.5" style="19" customWidth="1"/>
    <col min="14870" max="14870" width="21" style="19" customWidth="1"/>
    <col min="14871" max="14871" width="17.5" style="19" customWidth="1"/>
    <col min="14872" max="14872" width="22.6640625" style="19" customWidth="1"/>
    <col min="14873" max="14873" width="17.1640625" style="19" customWidth="1"/>
    <col min="14874" max="14874" width="15.83203125" style="19" customWidth="1"/>
    <col min="14875" max="14875" width="15.5" style="19" customWidth="1"/>
    <col min="14876" max="14876" width="16" style="19" customWidth="1"/>
    <col min="14877" max="14877" width="9.1640625" style="19" customWidth="1"/>
    <col min="14878" max="14878" width="17.33203125" style="19" customWidth="1"/>
    <col min="14879" max="14879" width="16.5" style="19" bestFit="1" customWidth="1"/>
    <col min="14880" max="14880" width="10.83203125" style="19" bestFit="1" customWidth="1"/>
    <col min="14881" max="15117" width="9.1640625" style="19"/>
    <col min="15118" max="15118" width="29.33203125" style="19" customWidth="1"/>
    <col min="15119" max="15120" width="20.1640625" style="19" customWidth="1"/>
    <col min="15121" max="15122" width="17.1640625" style="19" customWidth="1"/>
    <col min="15123" max="15123" width="21.5" style="19" customWidth="1"/>
    <col min="15124" max="15124" width="18.33203125" style="19" customWidth="1"/>
    <col min="15125" max="15125" width="28.5" style="19" customWidth="1"/>
    <col min="15126" max="15126" width="21" style="19" customWidth="1"/>
    <col min="15127" max="15127" width="17.5" style="19" customWidth="1"/>
    <col min="15128" max="15128" width="22.6640625" style="19" customWidth="1"/>
    <col min="15129" max="15129" width="17.1640625" style="19" customWidth="1"/>
    <col min="15130" max="15130" width="15.83203125" style="19" customWidth="1"/>
    <col min="15131" max="15131" width="15.5" style="19" customWidth="1"/>
    <col min="15132" max="15132" width="16" style="19" customWidth="1"/>
    <col min="15133" max="15133" width="9.1640625" style="19" customWidth="1"/>
    <col min="15134" max="15134" width="17.33203125" style="19" customWidth="1"/>
    <col min="15135" max="15135" width="16.5" style="19" bestFit="1" customWidth="1"/>
    <col min="15136" max="15136" width="10.83203125" style="19" bestFit="1" customWidth="1"/>
    <col min="15137" max="15373" width="9.1640625" style="19"/>
    <col min="15374" max="15374" width="29.33203125" style="19" customWidth="1"/>
    <col min="15375" max="15376" width="20.1640625" style="19" customWidth="1"/>
    <col min="15377" max="15378" width="17.1640625" style="19" customWidth="1"/>
    <col min="15379" max="15379" width="21.5" style="19" customWidth="1"/>
    <col min="15380" max="15380" width="18.33203125" style="19" customWidth="1"/>
    <col min="15381" max="15381" width="28.5" style="19" customWidth="1"/>
    <col min="15382" max="15382" width="21" style="19" customWidth="1"/>
    <col min="15383" max="15383" width="17.5" style="19" customWidth="1"/>
    <col min="15384" max="15384" width="22.6640625" style="19" customWidth="1"/>
    <col min="15385" max="15385" width="17.1640625" style="19" customWidth="1"/>
    <col min="15386" max="15386" width="15.83203125" style="19" customWidth="1"/>
    <col min="15387" max="15387" width="15.5" style="19" customWidth="1"/>
    <col min="15388" max="15388" width="16" style="19" customWidth="1"/>
    <col min="15389" max="15389" width="9.1640625" style="19" customWidth="1"/>
    <col min="15390" max="15390" width="17.33203125" style="19" customWidth="1"/>
    <col min="15391" max="15391" width="16.5" style="19" bestFit="1" customWidth="1"/>
    <col min="15392" max="15392" width="10.83203125" style="19" bestFit="1" customWidth="1"/>
    <col min="15393" max="15629" width="9.1640625" style="19"/>
    <col min="15630" max="15630" width="29.33203125" style="19" customWidth="1"/>
    <col min="15631" max="15632" width="20.1640625" style="19" customWidth="1"/>
    <col min="15633" max="15634" width="17.1640625" style="19" customWidth="1"/>
    <col min="15635" max="15635" width="21.5" style="19" customWidth="1"/>
    <col min="15636" max="15636" width="18.33203125" style="19" customWidth="1"/>
    <col min="15637" max="15637" width="28.5" style="19" customWidth="1"/>
    <col min="15638" max="15638" width="21" style="19" customWidth="1"/>
    <col min="15639" max="15639" width="17.5" style="19" customWidth="1"/>
    <col min="15640" max="15640" width="22.6640625" style="19" customWidth="1"/>
    <col min="15641" max="15641" width="17.1640625" style="19" customWidth="1"/>
    <col min="15642" max="15642" width="15.83203125" style="19" customWidth="1"/>
    <col min="15643" max="15643" width="15.5" style="19" customWidth="1"/>
    <col min="15644" max="15644" width="16" style="19" customWidth="1"/>
    <col min="15645" max="15645" width="9.1640625" style="19" customWidth="1"/>
    <col min="15646" max="15646" width="17.33203125" style="19" customWidth="1"/>
    <col min="15647" max="15647" width="16.5" style="19" bestFit="1" customWidth="1"/>
    <col min="15648" max="15648" width="10.83203125" style="19" bestFit="1" customWidth="1"/>
    <col min="15649" max="15885" width="9.1640625" style="19"/>
    <col min="15886" max="15886" width="29.33203125" style="19" customWidth="1"/>
    <col min="15887" max="15888" width="20.1640625" style="19" customWidth="1"/>
    <col min="15889" max="15890" width="17.1640625" style="19" customWidth="1"/>
    <col min="15891" max="15891" width="21.5" style="19" customWidth="1"/>
    <col min="15892" max="15892" width="18.33203125" style="19" customWidth="1"/>
    <col min="15893" max="15893" width="28.5" style="19" customWidth="1"/>
    <col min="15894" max="15894" width="21" style="19" customWidth="1"/>
    <col min="15895" max="15895" width="17.5" style="19" customWidth="1"/>
    <col min="15896" max="15896" width="22.6640625" style="19" customWidth="1"/>
    <col min="15897" max="15897" width="17.1640625" style="19" customWidth="1"/>
    <col min="15898" max="15898" width="15.83203125" style="19" customWidth="1"/>
    <col min="15899" max="15899" width="15.5" style="19" customWidth="1"/>
    <col min="15900" max="15900" width="16" style="19" customWidth="1"/>
    <col min="15901" max="15901" width="9.1640625" style="19" customWidth="1"/>
    <col min="15902" max="15902" width="17.33203125" style="19" customWidth="1"/>
    <col min="15903" max="15903" width="16.5" style="19" bestFit="1" customWidth="1"/>
    <col min="15904" max="15904" width="10.83203125" style="19" bestFit="1" customWidth="1"/>
    <col min="15905" max="16141" width="9.1640625" style="19"/>
    <col min="16142" max="16142" width="29.33203125" style="19" customWidth="1"/>
    <col min="16143" max="16144" width="20.1640625" style="19" customWidth="1"/>
    <col min="16145" max="16146" width="17.1640625" style="19" customWidth="1"/>
    <col min="16147" max="16147" width="21.5" style="19" customWidth="1"/>
    <col min="16148" max="16148" width="18.33203125" style="19" customWidth="1"/>
    <col min="16149" max="16149" width="28.5" style="19" customWidth="1"/>
    <col min="16150" max="16150" width="21" style="19" customWidth="1"/>
    <col min="16151" max="16151" width="17.5" style="19" customWidth="1"/>
    <col min="16152" max="16152" width="22.6640625" style="19" customWidth="1"/>
    <col min="16153" max="16153" width="17.1640625" style="19" customWidth="1"/>
    <col min="16154" max="16154" width="15.83203125" style="19" customWidth="1"/>
    <col min="16155" max="16155" width="15.5" style="19" customWidth="1"/>
    <col min="16156" max="16156" width="16" style="19" customWidth="1"/>
    <col min="16157" max="16157" width="9.1640625" style="19" customWidth="1"/>
    <col min="16158" max="16158" width="17.33203125" style="19" customWidth="1"/>
    <col min="16159" max="16159" width="16.5" style="19" bestFit="1" customWidth="1"/>
    <col min="16160" max="16160" width="10.83203125" style="19" bestFit="1" customWidth="1"/>
    <col min="16161" max="16384" width="9.1640625" style="19"/>
  </cols>
  <sheetData>
    <row r="1" spans="1:269" ht="17">
      <c r="A1" s="294" t="s">
        <v>81</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c r="IW1" s="25"/>
      <c r="IX1" s="25"/>
      <c r="IY1" s="25"/>
      <c r="IZ1" s="25"/>
      <c r="JA1" s="25"/>
      <c r="JB1" s="25"/>
      <c r="JC1" s="25"/>
      <c r="JD1" s="25"/>
      <c r="JE1" s="25"/>
      <c r="JF1" s="25"/>
      <c r="JG1" s="25"/>
      <c r="JH1" s="25"/>
      <c r="JI1" s="25"/>
    </row>
    <row r="2" spans="1:269" ht="17">
      <c r="A2" s="295" t="s">
        <v>151</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c r="JA2" s="25"/>
      <c r="JB2" s="25"/>
      <c r="JC2" s="25"/>
      <c r="JD2" s="25"/>
      <c r="JE2" s="25"/>
      <c r="JF2" s="25"/>
      <c r="JG2" s="25"/>
      <c r="JH2" s="25"/>
      <c r="JI2" s="25"/>
    </row>
    <row r="3" spans="1:269" ht="15">
      <c r="A3" s="296" t="s">
        <v>178</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c r="IW3" s="26"/>
      <c r="IX3" s="26"/>
      <c r="IY3" s="26"/>
      <c r="IZ3" s="26"/>
      <c r="JA3" s="26"/>
      <c r="JB3" s="26"/>
      <c r="JC3" s="26"/>
      <c r="JD3" s="26"/>
      <c r="JE3" s="26"/>
      <c r="JF3" s="26"/>
      <c r="JG3" s="26"/>
      <c r="JH3" s="26"/>
      <c r="JI3" s="26"/>
    </row>
    <row r="4" spans="1:269">
      <c r="A4" s="29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c r="JA4" s="26"/>
      <c r="JB4" s="26"/>
      <c r="JC4" s="26"/>
      <c r="JD4" s="26"/>
      <c r="JE4" s="26"/>
      <c r="JF4" s="26"/>
      <c r="JG4" s="26"/>
      <c r="JH4" s="26"/>
      <c r="JI4" s="26"/>
    </row>
    <row r="5" spans="1:269">
      <c r="A5" s="27"/>
      <c r="B5" s="27"/>
      <c r="C5" s="298" t="s">
        <v>82</v>
      </c>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row>
    <row r="6" spans="1:269" ht="14">
      <c r="A6" s="27"/>
      <c r="B6" s="27"/>
      <c r="C6" s="28" t="s">
        <v>83</v>
      </c>
      <c r="D6" s="55"/>
      <c r="E6" s="28" t="s">
        <v>84</v>
      </c>
      <c r="F6" s="55"/>
      <c r="G6" s="28" t="s">
        <v>85</v>
      </c>
      <c r="H6" s="55"/>
      <c r="I6" s="28" t="s">
        <v>118</v>
      </c>
      <c r="J6" s="55"/>
      <c r="K6" s="28" t="s">
        <v>86</v>
      </c>
      <c r="L6" s="55"/>
      <c r="M6" s="28" t="s">
        <v>87</v>
      </c>
      <c r="N6" s="55"/>
      <c r="O6" s="28" t="s">
        <v>88</v>
      </c>
      <c r="P6" s="55"/>
      <c r="Q6" s="28" t="s">
        <v>89</v>
      </c>
      <c r="R6" s="55"/>
      <c r="S6" s="28" t="s">
        <v>90</v>
      </c>
      <c r="T6" s="55"/>
      <c r="U6" s="299"/>
      <c r="V6" s="299"/>
      <c r="W6" s="299"/>
      <c r="X6" s="179"/>
      <c r="Y6" s="299"/>
      <c r="Z6" s="299"/>
      <c r="AA6" s="56"/>
      <c r="AB6" s="29"/>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row>
    <row r="7" spans="1:269" ht="14">
      <c r="A7" s="27"/>
      <c r="B7" s="27"/>
      <c r="C7" s="30"/>
      <c r="D7" s="30"/>
      <c r="E7" s="30"/>
      <c r="F7" s="30"/>
      <c r="G7" s="30"/>
      <c r="H7" s="30"/>
      <c r="I7" s="30"/>
      <c r="J7" s="30"/>
      <c r="K7" s="30"/>
      <c r="L7" s="30"/>
      <c r="M7" s="30"/>
      <c r="N7" s="30"/>
      <c r="O7" s="30"/>
      <c r="P7" s="30"/>
      <c r="Q7" s="30"/>
      <c r="R7" s="30"/>
      <c r="S7" s="30"/>
      <c r="T7" s="30"/>
      <c r="U7" s="292"/>
      <c r="V7" s="292"/>
      <c r="W7" s="293"/>
      <c r="X7" s="178"/>
      <c r="Y7" s="57"/>
      <c r="Z7" s="57"/>
      <c r="AA7" s="58"/>
      <c r="AB7" s="31"/>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row>
    <row r="8" spans="1:269">
      <c r="A8" s="32"/>
      <c r="B8" s="32" t="s">
        <v>202</v>
      </c>
      <c r="C8" s="33" t="s">
        <v>91</v>
      </c>
      <c r="D8" s="33" t="s">
        <v>203</v>
      </c>
      <c r="E8" s="33" t="s">
        <v>92</v>
      </c>
      <c r="F8" s="33" t="s">
        <v>204</v>
      </c>
      <c r="G8" s="33" t="s">
        <v>93</v>
      </c>
      <c r="H8" s="33" t="s">
        <v>205</v>
      </c>
      <c r="I8" s="33" t="s">
        <v>116</v>
      </c>
      <c r="J8" s="33">
        <v>5310</v>
      </c>
      <c r="K8" s="33" t="s">
        <v>94</v>
      </c>
      <c r="L8" s="33">
        <v>5311</v>
      </c>
      <c r="M8" s="33" t="s">
        <v>95</v>
      </c>
      <c r="N8" s="33" t="s">
        <v>207</v>
      </c>
      <c r="O8" s="33"/>
      <c r="P8" s="33" t="s">
        <v>208</v>
      </c>
      <c r="Q8" s="33" t="s">
        <v>96</v>
      </c>
      <c r="R8" s="33" t="s">
        <v>209</v>
      </c>
      <c r="S8" s="33" t="s">
        <v>97</v>
      </c>
      <c r="T8" s="33" t="s">
        <v>210</v>
      </c>
      <c r="U8" s="33" t="s">
        <v>131</v>
      </c>
      <c r="V8" s="33" t="s">
        <v>211</v>
      </c>
      <c r="W8" s="47" t="s">
        <v>129</v>
      </c>
      <c r="X8" s="33">
        <v>5339</v>
      </c>
      <c r="Y8" s="33" t="s">
        <v>98</v>
      </c>
      <c r="Z8" s="33" t="s">
        <v>135</v>
      </c>
      <c r="AA8" s="47"/>
      <c r="AB8" s="33"/>
    </row>
    <row r="9" spans="1:269" ht="12" thickBot="1">
      <c r="A9" s="35" t="s">
        <v>35</v>
      </c>
      <c r="B9" s="35" t="s">
        <v>170</v>
      </c>
      <c r="C9" s="35" t="s">
        <v>99</v>
      </c>
      <c r="D9" s="35" t="s">
        <v>170</v>
      </c>
      <c r="E9" s="35" t="s">
        <v>99</v>
      </c>
      <c r="F9" s="35" t="s">
        <v>170</v>
      </c>
      <c r="G9" s="35" t="s">
        <v>100</v>
      </c>
      <c r="H9" s="35" t="s">
        <v>206</v>
      </c>
      <c r="I9" s="35" t="s">
        <v>117</v>
      </c>
      <c r="J9" s="35" t="s">
        <v>170</v>
      </c>
      <c r="K9" s="35" t="s">
        <v>101</v>
      </c>
      <c r="L9" s="35" t="s">
        <v>170</v>
      </c>
      <c r="M9" s="35" t="s">
        <v>100</v>
      </c>
      <c r="N9" s="35" t="s">
        <v>170</v>
      </c>
      <c r="O9" s="35" t="s">
        <v>102</v>
      </c>
      <c r="P9" s="35" t="s">
        <v>170</v>
      </c>
      <c r="Q9" s="35" t="s">
        <v>103</v>
      </c>
      <c r="R9" s="35" t="s">
        <v>170</v>
      </c>
      <c r="S9" s="35" t="s">
        <v>100</v>
      </c>
      <c r="T9" s="35" t="s">
        <v>170</v>
      </c>
      <c r="U9" s="49" t="s">
        <v>132</v>
      </c>
      <c r="V9" s="49" t="s">
        <v>170</v>
      </c>
      <c r="W9" s="50" t="s">
        <v>130</v>
      </c>
      <c r="X9" s="180" t="s">
        <v>170</v>
      </c>
      <c r="Y9" s="59" t="s">
        <v>104</v>
      </c>
      <c r="Z9" s="59" t="s">
        <v>136</v>
      </c>
      <c r="AA9" s="60" t="s">
        <v>134</v>
      </c>
      <c r="AB9" s="36" t="s">
        <v>105</v>
      </c>
    </row>
    <row r="10" spans="1:269" ht="14">
      <c r="A10" s="37" t="s">
        <v>119</v>
      </c>
      <c r="B10" s="181">
        <v>7.9711663341292937E-3</v>
      </c>
      <c r="C10" s="38">
        <f>B10*C$67</f>
        <v>857703.89718726103</v>
      </c>
      <c r="D10" s="181">
        <v>9.96271570851044E-3</v>
      </c>
      <c r="E10" s="73">
        <f t="shared" ref="E10:E41" si="0">D10*E$67</f>
        <v>223937.31247285745</v>
      </c>
      <c r="F10" s="101">
        <v>4.83051636561468E-3</v>
      </c>
      <c r="G10" s="73">
        <f>F10*G$67</f>
        <v>23722019.962043095</v>
      </c>
      <c r="H10" s="181">
        <v>0</v>
      </c>
      <c r="I10" s="73">
        <f>H10*I$67</f>
        <v>0</v>
      </c>
      <c r="J10" s="181">
        <v>1.6315215757817386E-2</v>
      </c>
      <c r="K10" s="73">
        <f>J10*K$67</f>
        <v>4268625.813416684</v>
      </c>
      <c r="L10" s="181">
        <v>2.4865538558265274E-2</v>
      </c>
      <c r="M10" s="73">
        <f>L10*M$67</f>
        <v>15591233.057095729</v>
      </c>
      <c r="N10" s="181">
        <v>2.4918263900083122E-2</v>
      </c>
      <c r="O10" s="73">
        <f>N10*O$67</f>
        <v>262619.86264547886</v>
      </c>
      <c r="P10" s="181">
        <v>0.25</v>
      </c>
      <c r="Q10" s="73">
        <f>P10*Q$67</f>
        <v>5000000</v>
      </c>
      <c r="R10" s="181">
        <v>7.4399999999999999E-6</v>
      </c>
      <c r="S10" s="73">
        <f>R10*S$67</f>
        <v>223.2</v>
      </c>
      <c r="T10" s="181">
        <v>0</v>
      </c>
      <c r="U10" s="73">
        <f>T10*U$67</f>
        <v>0</v>
      </c>
      <c r="V10" s="181">
        <v>0</v>
      </c>
      <c r="W10" s="73">
        <f>V10*W$67</f>
        <v>0</v>
      </c>
      <c r="X10" s="181">
        <v>6.6822055093737117E-3</v>
      </c>
      <c r="Y10" s="73">
        <f>X10*Y$67</f>
        <v>2219036.8288610862</v>
      </c>
      <c r="Z10" s="38">
        <v>1750000</v>
      </c>
      <c r="AA10" s="38">
        <f>SUM(Y10+Z10)</f>
        <v>3969036.8288610862</v>
      </c>
      <c r="AB10" s="39">
        <f t="shared" ref="AB10:AB41" si="1">SUM(C10+E10+G10+I10+K10+M10+O10+Q10+S10+U10+W10+AA10)</f>
        <v>53895399.933722191</v>
      </c>
    </row>
    <row r="11" spans="1:269" ht="14">
      <c r="A11" s="37" t="s">
        <v>36</v>
      </c>
      <c r="B11" s="181">
        <v>4.0000007882070787E-3</v>
      </c>
      <c r="C11" s="73">
        <f t="shared" ref="C11:C66" si="2">B11*C$67</f>
        <v>430403.2962037145</v>
      </c>
      <c r="D11" s="181">
        <v>4.9997117070213551E-3</v>
      </c>
      <c r="E11" s="73">
        <f t="shared" si="0"/>
        <v>112381.20564386186</v>
      </c>
      <c r="F11" s="101">
        <v>3.3760327733145697E-3</v>
      </c>
      <c r="G11" s="73">
        <f t="shared" ref="G11" si="3">F11*G$67</f>
        <v>16579245.525625912</v>
      </c>
      <c r="H11" s="181">
        <v>0</v>
      </c>
      <c r="I11" s="73">
        <f t="shared" ref="I11" si="4">H11*I$67</f>
        <v>0</v>
      </c>
      <c r="J11" s="181">
        <v>1.491093776850769E-3</v>
      </c>
      <c r="K11" s="73">
        <f t="shared" ref="K11" si="5">J11*K$67</f>
        <v>390121.8028968104</v>
      </c>
      <c r="L11" s="181">
        <v>1.3105234556647527E-2</v>
      </c>
      <c r="M11" s="73">
        <f t="shared" ref="M11" si="6">L11*M$67</f>
        <v>8217266.8716510972</v>
      </c>
      <c r="N11" s="181">
        <v>9.1444190186806655E-3</v>
      </c>
      <c r="O11" s="73">
        <f t="shared" ref="O11" si="7">N11*O$67</f>
        <v>96375.33643146824</v>
      </c>
      <c r="P11" s="181">
        <v>0</v>
      </c>
      <c r="Q11" s="73">
        <f t="shared" ref="Q11" si="8">P11*Q$67</f>
        <v>0</v>
      </c>
      <c r="R11" s="181">
        <v>1.486264E-2</v>
      </c>
      <c r="S11" s="73">
        <f t="shared" ref="S11" si="9">R11*S$67</f>
        <v>445879.2</v>
      </c>
      <c r="T11" s="181">
        <v>9.5512672463014606E-3</v>
      </c>
      <c r="U11" s="73">
        <f t="shared" ref="U11" si="10">T11*U$67</f>
        <v>23023143.447498366</v>
      </c>
      <c r="V11" s="181">
        <v>0</v>
      </c>
      <c r="W11" s="73">
        <f t="shared" ref="W11" si="11">V11*W$67</f>
        <v>0</v>
      </c>
      <c r="X11" s="181">
        <v>1.7484020858619534E-3</v>
      </c>
      <c r="Y11" s="73">
        <f t="shared" ref="Y11" si="12">X11*Y$67</f>
        <v>580611.98727616633</v>
      </c>
      <c r="Z11" s="38">
        <v>1750000</v>
      </c>
      <c r="AA11" s="73">
        <f t="shared" ref="AA11:AA67" si="13">SUM(Y11+Z11)</f>
        <v>2330611.9872761662</v>
      </c>
      <c r="AB11" s="74">
        <f t="shared" si="1"/>
        <v>51625428.6732274</v>
      </c>
    </row>
    <row r="12" spans="1:269" ht="14">
      <c r="A12" s="37" t="s">
        <v>37</v>
      </c>
      <c r="B12" s="181">
        <v>0</v>
      </c>
      <c r="C12" s="73">
        <f t="shared" si="2"/>
        <v>0</v>
      </c>
      <c r="D12" s="181">
        <v>0</v>
      </c>
      <c r="E12" s="73">
        <f t="shared" si="0"/>
        <v>0</v>
      </c>
      <c r="F12" s="101"/>
      <c r="G12" s="73">
        <f t="shared" ref="G12" si="14">F12*G$67</f>
        <v>0</v>
      </c>
      <c r="H12" s="181">
        <v>0</v>
      </c>
      <c r="I12" s="73">
        <f t="shared" ref="I12" si="15">H12*I$67</f>
        <v>0</v>
      </c>
      <c r="J12" s="181">
        <v>4.6351986780385408E-5</v>
      </c>
      <c r="K12" s="73">
        <f t="shared" ref="K12" si="16">J12*K$67</f>
        <v>12127.285977146723</v>
      </c>
      <c r="L12" s="181">
        <v>4.8549207305702193E-4</v>
      </c>
      <c r="M12" s="73">
        <f t="shared" ref="M12" si="17">L12*M$67</f>
        <v>304414.08058256231</v>
      </c>
      <c r="N12" s="181">
        <v>1.3672066184407269E-3</v>
      </c>
      <c r="O12" s="73">
        <f t="shared" ref="O12" si="18">N12*O$67</f>
        <v>14409.335087814668</v>
      </c>
      <c r="P12" s="181">
        <v>0</v>
      </c>
      <c r="Q12" s="73">
        <f t="shared" ref="Q12" si="19">P12*Q$67</f>
        <v>0</v>
      </c>
      <c r="R12" s="181">
        <v>0</v>
      </c>
      <c r="S12" s="73">
        <f t="shared" ref="S12" si="20">R12*S$67</f>
        <v>0</v>
      </c>
      <c r="T12" s="181">
        <v>0</v>
      </c>
      <c r="U12" s="73">
        <f t="shared" ref="U12" si="21">T12*U$67</f>
        <v>0</v>
      </c>
      <c r="V12" s="181">
        <v>0</v>
      </c>
      <c r="W12" s="73">
        <f t="shared" ref="W12" si="22">V12*W$67</f>
        <v>0</v>
      </c>
      <c r="X12" s="181">
        <v>0</v>
      </c>
      <c r="Y12" s="73">
        <f t="shared" ref="Y12" si="23">X12*Y$67</f>
        <v>0</v>
      </c>
      <c r="Z12" s="38">
        <v>500000</v>
      </c>
      <c r="AA12" s="73">
        <f t="shared" si="13"/>
        <v>500000</v>
      </c>
      <c r="AB12" s="74">
        <f t="shared" si="1"/>
        <v>830950.70164752367</v>
      </c>
    </row>
    <row r="13" spans="1:269" ht="14">
      <c r="A13" s="37" t="s">
        <v>38</v>
      </c>
      <c r="B13" s="181">
        <v>2.2963024483429021E-2</v>
      </c>
      <c r="C13" s="73">
        <f t="shared" si="2"/>
        <v>2470839.8702352433</v>
      </c>
      <c r="D13" s="181">
        <v>2.192702708919549E-2</v>
      </c>
      <c r="E13" s="73">
        <f t="shared" si="0"/>
        <v>492865.56603030208</v>
      </c>
      <c r="F13" s="101">
        <v>1.5354550122040136E-2</v>
      </c>
      <c r="G13" s="73">
        <f t="shared" ref="G13" si="24">F13*G$67</f>
        <v>75404142.525222138</v>
      </c>
      <c r="H13" s="181">
        <v>1.9249055207293687E-2</v>
      </c>
      <c r="I13" s="73">
        <f t="shared" ref="I13" si="25">H13*I$67</f>
        <v>436848.23199999996</v>
      </c>
      <c r="J13" s="181">
        <v>2.1649520004863424E-2</v>
      </c>
      <c r="K13" s="73">
        <f t="shared" ref="K13" si="26">J13*K$67</f>
        <v>5664264.6540890001</v>
      </c>
      <c r="L13" s="181">
        <v>1.8772658238577274E-2</v>
      </c>
      <c r="M13" s="73">
        <f t="shared" ref="M13" si="27">L13*M$67</f>
        <v>11770864.685397174</v>
      </c>
      <c r="N13" s="181">
        <v>1.5881058300075662E-2</v>
      </c>
      <c r="O13" s="73">
        <f t="shared" ref="O13" si="28">N13*O$67</f>
        <v>167374.47545118904</v>
      </c>
      <c r="P13" s="181">
        <v>0</v>
      </c>
      <c r="Q13" s="73">
        <f t="shared" ref="Q13" si="29">P13*Q$67</f>
        <v>0</v>
      </c>
      <c r="R13" s="181">
        <v>6.1556680000000003E-2</v>
      </c>
      <c r="S13" s="73">
        <f t="shared" ref="S13" si="30">R13*S$67</f>
        <v>1846700.4000000001</v>
      </c>
      <c r="T13" s="181">
        <v>1.6379387401513619E-4</v>
      </c>
      <c r="U13" s="73">
        <f t="shared" ref="U13" si="31">T13*U$67</f>
        <v>394821.93933294248</v>
      </c>
      <c r="V13" s="181">
        <v>3.5917393987930465E-2</v>
      </c>
      <c r="W13" s="73">
        <f t="shared" ref="W13" si="32">V13*W$67</f>
        <v>2566279.841740638</v>
      </c>
      <c r="X13" s="181">
        <v>2.097246110336427E-2</v>
      </c>
      <c r="Y13" s="73">
        <f t="shared" ref="Y13" si="33">X13*Y$67</f>
        <v>6964566.3418968618</v>
      </c>
      <c r="Z13" s="38">
        <v>1750000</v>
      </c>
      <c r="AA13" s="73">
        <f t="shared" si="13"/>
        <v>8714566.3418968618</v>
      </c>
      <c r="AB13" s="74">
        <f t="shared" si="1"/>
        <v>109929568.53139549</v>
      </c>
    </row>
    <row r="14" spans="1:269" ht="14">
      <c r="A14" s="37" t="s">
        <v>39</v>
      </c>
      <c r="B14" s="181">
        <v>4.0120678632407049E-3</v>
      </c>
      <c r="C14" s="73">
        <f t="shared" si="2"/>
        <v>431701.72316535976</v>
      </c>
      <c r="D14" s="181">
        <v>5.0578940750053217E-3</v>
      </c>
      <c r="E14" s="73">
        <f t="shared" si="0"/>
        <v>113689.00198181281</v>
      </c>
      <c r="F14" s="101">
        <v>2.5992634914837631E-3</v>
      </c>
      <c r="G14" s="73">
        <f t="shared" ref="G14" si="34">F14*G$67</f>
        <v>12764635.447776087</v>
      </c>
      <c r="H14" s="181">
        <v>1.0108082042770793E-2</v>
      </c>
      <c r="I14" s="73">
        <f t="shared" ref="I14" si="35">H14*I$67</f>
        <v>229398.15599999999</v>
      </c>
      <c r="J14" s="181">
        <v>9.6485773668725031E-3</v>
      </c>
      <c r="K14" s="73">
        <f t="shared" ref="K14" si="36">J14*K$67</f>
        <v>2524402.1913253409</v>
      </c>
      <c r="L14" s="181">
        <v>1.9342063440129797E-2</v>
      </c>
      <c r="M14" s="73">
        <f t="shared" ref="M14" si="37">L14*M$67</f>
        <v>12127894.121157253</v>
      </c>
      <c r="N14" s="181">
        <v>1.962438937577201E-2</v>
      </c>
      <c r="O14" s="73">
        <f t="shared" ref="O14" si="38">N14*O$67</f>
        <v>206826.38497738392</v>
      </c>
      <c r="P14" s="181">
        <v>0</v>
      </c>
      <c r="Q14" s="73">
        <f t="shared" ref="Q14" si="39">P14*Q$67</f>
        <v>0</v>
      </c>
      <c r="R14" s="181">
        <v>0</v>
      </c>
      <c r="S14" s="73">
        <f t="shared" ref="S14" si="40">R14*S$67</f>
        <v>0</v>
      </c>
      <c r="T14" s="181">
        <v>1.3194527133410033E-4</v>
      </c>
      <c r="U14" s="73">
        <f t="shared" ref="U14" si="41">T14*U$67</f>
        <v>318051.50361805782</v>
      </c>
      <c r="V14" s="181">
        <v>0</v>
      </c>
      <c r="W14" s="73">
        <f t="shared" ref="W14" si="42">V14*W$67</f>
        <v>0</v>
      </c>
      <c r="X14" s="181">
        <v>3.5652069485110883E-3</v>
      </c>
      <c r="Y14" s="73">
        <f t="shared" ref="Y14" si="43">X14*Y$67</f>
        <v>1183939.271271985</v>
      </c>
      <c r="Z14" s="38">
        <v>1750000</v>
      </c>
      <c r="AA14" s="73">
        <f t="shared" si="13"/>
        <v>2933939.271271985</v>
      </c>
      <c r="AB14" s="74">
        <f t="shared" si="1"/>
        <v>31650537.801273279</v>
      </c>
    </row>
    <row r="15" spans="1:269" ht="14">
      <c r="A15" s="37" t="s">
        <v>120</v>
      </c>
      <c r="B15" s="181">
        <v>0.14999529093187744</v>
      </c>
      <c r="C15" s="73">
        <f t="shared" si="2"/>
        <v>16139613.727689348</v>
      </c>
      <c r="D15" s="181">
        <v>0.14322024173748177</v>
      </c>
      <c r="E15" s="73">
        <f t="shared" si="0"/>
        <v>3219238.3045726679</v>
      </c>
      <c r="F15" s="101">
        <v>0.16030220947343538</v>
      </c>
      <c r="G15" s="73">
        <f t="shared" ref="G15" si="44">F15*G$67</f>
        <v>787222716.0138309</v>
      </c>
      <c r="H15" s="181">
        <v>0.12745203144449554</v>
      </c>
      <c r="I15" s="73">
        <f t="shared" ref="I15" si="45">H15*I$67</f>
        <v>2892463.7600000002</v>
      </c>
      <c r="J15" s="181">
        <v>0.11037559666627997</v>
      </c>
      <c r="K15" s="73">
        <f t="shared" ref="K15" si="46">J15*K$67</f>
        <v>28878080.933450118</v>
      </c>
      <c r="L15" s="181">
        <v>4.4515647849891996E-2</v>
      </c>
      <c r="M15" s="73">
        <f t="shared" ref="M15" si="47">L15*M$67</f>
        <v>27912278.621633388</v>
      </c>
      <c r="N15" s="181">
        <v>3.5422917838626472E-2</v>
      </c>
      <c r="O15" s="73">
        <f t="shared" ref="O15" si="48">N15*O$67</f>
        <v>373331.05767657975</v>
      </c>
      <c r="P15" s="181">
        <v>0</v>
      </c>
      <c r="Q15" s="73">
        <f t="shared" ref="Q15" si="49">P15*Q$67</f>
        <v>0</v>
      </c>
      <c r="R15" s="181">
        <v>2.1273799999999999E-2</v>
      </c>
      <c r="S15" s="73">
        <f t="shared" ref="S15" si="50">R15*S$67</f>
        <v>638214</v>
      </c>
      <c r="T15" s="181">
        <v>0.15402670095211823</v>
      </c>
      <c r="U15" s="73">
        <f t="shared" ref="U15" si="51">T15*U$67</f>
        <v>371278359.12441242</v>
      </c>
      <c r="V15" s="181">
        <v>0.23946784383828837</v>
      </c>
      <c r="W15" s="73">
        <f t="shared" ref="W15" si="52">V15*W$67</f>
        <v>17109857.708323784</v>
      </c>
      <c r="X15" s="181">
        <v>0.18084132050311938</v>
      </c>
      <c r="Y15" s="73">
        <f t="shared" ref="Y15" si="53">X15*Y$67</f>
        <v>60054056.974656641</v>
      </c>
      <c r="Z15" s="38">
        <v>1750000</v>
      </c>
      <c r="AA15" s="73">
        <f t="shared" si="13"/>
        <v>61804056.974656641</v>
      </c>
      <c r="AB15" s="74">
        <f t="shared" si="1"/>
        <v>1317468210.2262456</v>
      </c>
    </row>
    <row r="16" spans="1:269" ht="14">
      <c r="A16" s="37" t="s">
        <v>40</v>
      </c>
      <c r="B16" s="181">
        <v>1.6796176752772441E-2</v>
      </c>
      <c r="C16" s="73">
        <f t="shared" si="2"/>
        <v>1807282.1033752284</v>
      </c>
      <c r="D16" s="181">
        <v>1.6561547757488731E-2</v>
      </c>
      <c r="E16" s="73">
        <f t="shared" si="0"/>
        <v>372262.8050135753</v>
      </c>
      <c r="F16" s="101">
        <v>1.5138919165086483E-2</v>
      </c>
      <c r="G16" s="73">
        <f t="shared" ref="G16" si="54">F16*G$67</f>
        <v>74345207.728581995</v>
      </c>
      <c r="H16" s="181">
        <v>2.3645767216534153E-2</v>
      </c>
      <c r="I16" s="73">
        <f t="shared" ref="I16" si="55">H16*I$67</f>
        <v>536629.53800000006</v>
      </c>
      <c r="J16" s="181">
        <v>1.445304974089418E-2</v>
      </c>
      <c r="K16" s="73">
        <f t="shared" ref="K16" si="56">J16*K$67</f>
        <v>3781418.6537505887</v>
      </c>
      <c r="L16" s="181">
        <v>1.7796227792132299E-2</v>
      </c>
      <c r="M16" s="73">
        <f t="shared" ref="M16" si="57">L16*M$67</f>
        <v>11158621.575564861</v>
      </c>
      <c r="N16" s="181">
        <v>1.5034844832129506E-2</v>
      </c>
      <c r="O16" s="73">
        <f t="shared" ref="O16" si="58">N16*O$67</f>
        <v>158456.01846671055</v>
      </c>
      <c r="P16" s="181">
        <v>0</v>
      </c>
      <c r="Q16" s="73">
        <f t="shared" ref="Q16" si="59">P16*Q$67</f>
        <v>0</v>
      </c>
      <c r="R16" s="181">
        <v>6.0998399999999996E-3</v>
      </c>
      <c r="S16" s="73">
        <f t="shared" ref="S16" si="60">R16*S$67</f>
        <v>182995.19999999998</v>
      </c>
      <c r="T16" s="181">
        <v>5.7583806875257772E-3</v>
      </c>
      <c r="U16" s="73">
        <f t="shared" ref="U16" si="61">T16*U$67</f>
        <v>13880464.358857479</v>
      </c>
      <c r="V16" s="181">
        <v>5.8797861897210112E-3</v>
      </c>
      <c r="W16" s="73">
        <f t="shared" ref="W16" si="62">V16*W$67</f>
        <v>420107.78336247138</v>
      </c>
      <c r="X16" s="181">
        <v>1.8746202980253302E-2</v>
      </c>
      <c r="Y16" s="73">
        <f t="shared" ref="Y16" si="63">X16*Y$67</f>
        <v>6225267.2049869867</v>
      </c>
      <c r="Z16" s="38">
        <v>1750000</v>
      </c>
      <c r="AA16" s="73">
        <f t="shared" si="13"/>
        <v>7975267.2049869867</v>
      </c>
      <c r="AB16" s="74">
        <f t="shared" si="1"/>
        <v>114618712.96995991</v>
      </c>
    </row>
    <row r="17" spans="1:28" ht="14">
      <c r="A17" s="37" t="s">
        <v>121</v>
      </c>
      <c r="B17" s="181">
        <v>1.039382400719055E-2</v>
      </c>
      <c r="C17" s="73">
        <f t="shared" si="2"/>
        <v>1118383.8078345198</v>
      </c>
      <c r="D17" s="181">
        <v>1.299046852344804E-2</v>
      </c>
      <c r="E17" s="73">
        <f t="shared" si="0"/>
        <v>291993.73885768995</v>
      </c>
      <c r="F17" s="101">
        <v>1.9360792082347679E-2</v>
      </c>
      <c r="G17" s="73">
        <f t="shared" ref="G17" si="64">F17*G$67</f>
        <v>95078261.100141168</v>
      </c>
      <c r="H17" s="181">
        <v>0</v>
      </c>
      <c r="I17" s="73">
        <f t="shared" ref="I17" si="65">H17*I$67</f>
        <v>0</v>
      </c>
      <c r="J17" s="181">
        <v>1.2257063193736872E-2</v>
      </c>
      <c r="K17" s="73">
        <f t="shared" ref="K17" si="66">J17*K$67</f>
        <v>3206872.4754924183</v>
      </c>
      <c r="L17" s="181">
        <v>4.7533734259735221E-3</v>
      </c>
      <c r="M17" s="73">
        <f t="shared" ref="M17" si="67">L17*M$67</f>
        <v>2980468.439004486</v>
      </c>
      <c r="N17" s="181">
        <v>1.0274964734039592E-2</v>
      </c>
      <c r="O17" s="73">
        <f t="shared" ref="O17" si="68">N17*O$67</f>
        <v>108290.44262315624</v>
      </c>
      <c r="P17" s="181">
        <v>0</v>
      </c>
      <c r="Q17" s="73">
        <f t="shared" ref="Q17" si="69">P17*Q$67</f>
        <v>0</v>
      </c>
      <c r="R17" s="181">
        <v>0</v>
      </c>
      <c r="S17" s="73">
        <f t="shared" ref="S17" si="70">R17*S$67</f>
        <v>0</v>
      </c>
      <c r="T17" s="181">
        <v>2.3813321659182454E-2</v>
      </c>
      <c r="U17" s="73">
        <f t="shared" ref="U17" si="71">T17*U$67</f>
        <v>57401547.499686949</v>
      </c>
      <c r="V17" s="181">
        <v>1.362787675756468E-2</v>
      </c>
      <c r="W17" s="73">
        <f t="shared" ref="W17" si="72">V17*W$67</f>
        <v>973704.98038961762</v>
      </c>
      <c r="X17" s="181">
        <v>1.1558472351141071E-2</v>
      </c>
      <c r="Y17" s="73">
        <f t="shared" ref="Y17" si="73">X17*Y$67</f>
        <v>3838354.8360754536</v>
      </c>
      <c r="Z17" s="38">
        <v>1750000</v>
      </c>
      <c r="AA17" s="73">
        <f t="shared" si="13"/>
        <v>5588354.8360754531</v>
      </c>
      <c r="AB17" s="74">
        <f t="shared" si="1"/>
        <v>166747877.32010546</v>
      </c>
    </row>
    <row r="18" spans="1:28" ht="14">
      <c r="A18" s="37" t="s">
        <v>41</v>
      </c>
      <c r="B18" s="181">
        <v>4.0000007882070787E-3</v>
      </c>
      <c r="C18" s="73">
        <f t="shared" si="2"/>
        <v>430403.2962037145</v>
      </c>
      <c r="D18" s="181">
        <v>4.9997117070213551E-3</v>
      </c>
      <c r="E18" s="73">
        <f t="shared" si="0"/>
        <v>112381.20564386186</v>
      </c>
      <c r="F18" s="101">
        <v>3.9800081251573499E-3</v>
      </c>
      <c r="G18" s="73">
        <f t="shared" ref="G18" si="74">F18*G$67</f>
        <v>19545287.718337391</v>
      </c>
      <c r="H18" s="181">
        <v>0</v>
      </c>
      <c r="I18" s="73">
        <f t="shared" ref="I18" si="75">H18*I$67</f>
        <v>0</v>
      </c>
      <c r="J18" s="181">
        <v>3.1563201683592404E-3</v>
      </c>
      <c r="K18" s="73">
        <f t="shared" ref="K18" si="76">J18*K$67</f>
        <v>825802.73200557148</v>
      </c>
      <c r="L18" s="181">
        <v>2.7130402279169313E-3</v>
      </c>
      <c r="M18" s="73">
        <f t="shared" ref="M18" si="77">L18*M$67</f>
        <v>1701135.1830410543</v>
      </c>
      <c r="N18" s="181">
        <v>8.2751235757125997E-3</v>
      </c>
      <c r="O18" s="73">
        <f t="shared" ref="O18" si="78">N18*O$67</f>
        <v>87213.612695576172</v>
      </c>
      <c r="P18" s="181">
        <v>0</v>
      </c>
      <c r="Q18" s="73">
        <f t="shared" ref="Q18" si="79">P18*Q$67</f>
        <v>0</v>
      </c>
      <c r="R18" s="181">
        <v>0</v>
      </c>
      <c r="S18" s="73">
        <f t="shared" ref="S18" si="80">R18*S$67</f>
        <v>0</v>
      </c>
      <c r="T18" s="181">
        <v>0</v>
      </c>
      <c r="U18" s="73">
        <f t="shared" ref="U18" si="81">T18*U$67</f>
        <v>0</v>
      </c>
      <c r="V18" s="181">
        <v>0</v>
      </c>
      <c r="W18" s="73">
        <f t="shared" ref="W18" si="82">V18*W$67</f>
        <v>0</v>
      </c>
      <c r="X18" s="181">
        <v>2.5808784629573153E-3</v>
      </c>
      <c r="Y18" s="73">
        <f t="shared" ref="Y18" si="83">X18*Y$67</f>
        <v>857061.99129655969</v>
      </c>
      <c r="Z18" s="38">
        <v>1750000</v>
      </c>
      <c r="AA18" s="73">
        <f t="shared" si="13"/>
        <v>2607061.9912965596</v>
      </c>
      <c r="AB18" s="74">
        <f t="shared" si="1"/>
        <v>25309285.739223726</v>
      </c>
    </row>
    <row r="19" spans="1:28" ht="14">
      <c r="A19" s="37" t="s">
        <v>42</v>
      </c>
      <c r="B19" s="181">
        <v>4.0000007882070787E-3</v>
      </c>
      <c r="C19" s="73">
        <f t="shared" si="2"/>
        <v>430403.2962037145</v>
      </c>
      <c r="D19" s="181">
        <v>4.9997117070213551E-3</v>
      </c>
      <c r="E19" s="73">
        <f t="shared" si="0"/>
        <v>112381.20564386186</v>
      </c>
      <c r="F19" s="101">
        <v>4.229240059921412E-3</v>
      </c>
      <c r="G19" s="73">
        <f t="shared" ref="G19" si="84">F19*G$67</f>
        <v>20769232.424070597</v>
      </c>
      <c r="H19" s="181">
        <v>8.0222758009711459E-2</v>
      </c>
      <c r="I19" s="73">
        <f t="shared" ref="I19" si="85">H19*I$67</f>
        <v>1820617.6680000001</v>
      </c>
      <c r="J19" s="181">
        <v>1.4430250498192582E-3</v>
      </c>
      <c r="K19" s="73">
        <f t="shared" ref="K19" si="86">J19*K$67</f>
        <v>377545.35817976936</v>
      </c>
      <c r="L19" s="181">
        <v>0</v>
      </c>
      <c r="M19" s="73">
        <f t="shared" ref="M19" si="87">L19*M$67</f>
        <v>0</v>
      </c>
      <c r="N19" s="181">
        <v>0</v>
      </c>
      <c r="O19" s="73">
        <f t="shared" ref="O19" si="88">N19*O$67</f>
        <v>0</v>
      </c>
      <c r="P19" s="181">
        <v>0</v>
      </c>
      <c r="Q19" s="73">
        <f t="shared" ref="Q19" si="89">P19*Q$67</f>
        <v>0</v>
      </c>
      <c r="R19" s="181">
        <v>0</v>
      </c>
      <c r="S19" s="73">
        <f t="shared" ref="S19" si="90">R19*S$67</f>
        <v>0</v>
      </c>
      <c r="T19" s="181">
        <v>7.0144262173573099E-2</v>
      </c>
      <c r="U19" s="73">
        <f t="shared" ref="U19" si="91">T19*U$67</f>
        <v>169081376.15628558</v>
      </c>
      <c r="V19" s="181">
        <v>7.6613582501631514E-2</v>
      </c>
      <c r="W19" s="73">
        <f t="shared" ref="W19" si="92">V19*W$67</f>
        <v>5474002.1629503211</v>
      </c>
      <c r="X19" s="181">
        <v>3.5290319967315499E-3</v>
      </c>
      <c r="Y19" s="73">
        <f t="shared" ref="Y19" si="93">X19*Y$67</f>
        <v>1171926.2390226081</v>
      </c>
      <c r="Z19" s="38">
        <v>500000</v>
      </c>
      <c r="AA19" s="73">
        <f t="shared" si="13"/>
        <v>1671926.2390226081</v>
      </c>
      <c r="AB19" s="74">
        <f t="shared" si="1"/>
        <v>199737484.51035646</v>
      </c>
    </row>
    <row r="20" spans="1:28" ht="14">
      <c r="A20" s="37" t="s">
        <v>43</v>
      </c>
      <c r="B20" s="181">
        <v>7.2065200789794753E-2</v>
      </c>
      <c r="C20" s="73">
        <f t="shared" si="2"/>
        <v>7754273.4623842398</v>
      </c>
      <c r="D20" s="181">
        <v>7.0436587307749945E-2</v>
      </c>
      <c r="E20" s="73">
        <f t="shared" si="0"/>
        <v>1583241.0080700412</v>
      </c>
      <c r="F20" s="101">
        <v>5.1978913044415147E-2</v>
      </c>
      <c r="G20" s="73">
        <f t="shared" ref="G20" si="94">F20*G$67</f>
        <v>255261491.63310292</v>
      </c>
      <c r="H20" s="181">
        <v>3.4103686093324211E-2</v>
      </c>
      <c r="I20" s="73">
        <f t="shared" ref="I20" si="95">H20*I$67</f>
        <v>773967.076</v>
      </c>
      <c r="J20" s="181">
        <v>7.977270529972319E-2</v>
      </c>
      <c r="K20" s="73">
        <f t="shared" ref="K20" si="96">J20*K$67</f>
        <v>20871304.069964338</v>
      </c>
      <c r="L20" s="181">
        <v>2.5299106431908309E-2</v>
      </c>
      <c r="M20" s="73">
        <f t="shared" ref="M20" si="97">L20*M$67</f>
        <v>15863089.536222382</v>
      </c>
      <c r="N20" s="181">
        <v>2.4205737462978161E-2</v>
      </c>
      <c r="O20" s="73">
        <f t="shared" ref="O20" si="98">N20*O$67</f>
        <v>255110.36696816751</v>
      </c>
      <c r="P20" s="181">
        <v>0</v>
      </c>
      <c r="Q20" s="73">
        <f t="shared" ref="Q20" si="99">P20*Q$67</f>
        <v>0</v>
      </c>
      <c r="R20" s="181">
        <v>0</v>
      </c>
      <c r="S20" s="73">
        <f t="shared" ref="S20" si="100">R20*S$67</f>
        <v>0</v>
      </c>
      <c r="T20" s="181">
        <v>1.7820583624599286E-2</v>
      </c>
      <c r="U20" s="73">
        <f t="shared" ref="U20" si="101">T20*U$67</f>
        <v>42956169.325715899</v>
      </c>
      <c r="V20" s="181">
        <v>2.2265987413418009E-2</v>
      </c>
      <c r="W20" s="73">
        <f t="shared" ref="W20" si="102">V20*W$67</f>
        <v>1590893.6676950101</v>
      </c>
      <c r="X20" s="181">
        <v>6.6763051089306191E-2</v>
      </c>
      <c r="Y20" s="73">
        <f t="shared" ref="Y20" si="103">X20*Y$67</f>
        <v>22170774.150313433</v>
      </c>
      <c r="Z20" s="38">
        <v>1750000</v>
      </c>
      <c r="AA20" s="73">
        <f t="shared" si="13"/>
        <v>23920774.150313433</v>
      </c>
      <c r="AB20" s="74">
        <f t="shared" si="1"/>
        <v>370830314.29643643</v>
      </c>
    </row>
    <row r="21" spans="1:28" ht="14">
      <c r="A21" s="37" t="s">
        <v>44</v>
      </c>
      <c r="B21" s="181">
        <v>2.8456640151536945E-2</v>
      </c>
      <c r="C21" s="73">
        <f t="shared" si="2"/>
        <v>3061957.3266620077</v>
      </c>
      <c r="D21" s="181">
        <v>2.7139041150210857E-2</v>
      </c>
      <c r="E21" s="73">
        <f t="shared" si="0"/>
        <v>610018.80572352139</v>
      </c>
      <c r="F21" s="101">
        <v>1.8481882814510329E-2</v>
      </c>
      <c r="G21" s="73">
        <f t="shared" ref="G21" si="104">F21*G$67</f>
        <v>90762055.208597898</v>
      </c>
      <c r="H21" s="181">
        <v>3.7886714588496517E-2</v>
      </c>
      <c r="I21" s="73">
        <f t="shared" ref="I21" si="105">H21*I$67</f>
        <v>859821.12399999995</v>
      </c>
      <c r="J21" s="181">
        <v>2.6495205796995262E-2</v>
      </c>
      <c r="K21" s="73">
        <f t="shared" ref="K21" si="106">J21*K$67</f>
        <v>6932063.9748604437</v>
      </c>
      <c r="L21" s="181">
        <v>3.4186157126159113E-2</v>
      </c>
      <c r="M21" s="73">
        <f t="shared" ref="M21" si="107">L21*M$67</f>
        <v>21435463.456039675</v>
      </c>
      <c r="N21" s="181">
        <v>3.1801874124474779E-2</v>
      </c>
      <c r="O21" s="73">
        <f t="shared" ref="O21" si="108">N21*O$67</f>
        <v>335167.96547011903</v>
      </c>
      <c r="P21" s="181">
        <v>2.9600000000000001E-2</v>
      </c>
      <c r="Q21" s="73">
        <f t="shared" ref="Q21" si="109">P21*Q$67</f>
        <v>592000</v>
      </c>
      <c r="R21" s="181">
        <v>0</v>
      </c>
      <c r="S21" s="73">
        <f t="shared" ref="S21" si="110">R21*S$67</f>
        <v>0</v>
      </c>
      <c r="T21" s="181">
        <v>1.9035360168962637E-2</v>
      </c>
      <c r="U21" s="73">
        <f t="shared" ref="U21" si="111">T21*U$67</f>
        <v>45884364.497761138</v>
      </c>
      <c r="V21" s="181">
        <v>5.2261377037071927E-2</v>
      </c>
      <c r="W21" s="73">
        <f t="shared" ref="W21" si="112">V21*W$67</f>
        <v>3734049.2586102705</v>
      </c>
      <c r="X21" s="181">
        <v>2.1245077642641601E-2</v>
      </c>
      <c r="Y21" s="73">
        <f t="shared" ref="Y21" si="113">X21*Y$67</f>
        <v>7055097.2511848863</v>
      </c>
      <c r="Z21" s="38">
        <v>1750000</v>
      </c>
      <c r="AA21" s="73">
        <f t="shared" si="13"/>
        <v>8805097.2511848863</v>
      </c>
      <c r="AB21" s="74">
        <f t="shared" si="1"/>
        <v>183012058.86890996</v>
      </c>
    </row>
    <row r="22" spans="1:28" ht="14">
      <c r="A22" s="37" t="s">
        <v>45</v>
      </c>
      <c r="B22" s="181">
        <v>0</v>
      </c>
      <c r="C22" s="73">
        <f t="shared" si="2"/>
        <v>0</v>
      </c>
      <c r="D22" s="181">
        <v>0</v>
      </c>
      <c r="E22" s="73">
        <f t="shared" si="0"/>
        <v>0</v>
      </c>
      <c r="F22" s="101"/>
      <c r="G22" s="73">
        <f t="shared" ref="G22" si="114">F22*G$67</f>
        <v>0</v>
      </c>
      <c r="H22" s="181">
        <v>0</v>
      </c>
      <c r="I22" s="73">
        <f t="shared" ref="I22" si="115">H22*I$67</f>
        <v>0</v>
      </c>
      <c r="J22" s="181">
        <v>1.7548814033110216E-4</v>
      </c>
      <c r="K22" s="73">
        <f t="shared" ref="K22" si="116">J22*K$67</f>
        <v>45913.778701143223</v>
      </c>
      <c r="L22" s="181">
        <v>1.2723498709283419E-3</v>
      </c>
      <c r="M22" s="73">
        <f t="shared" ref="M22" si="117">L22*M$67</f>
        <v>797791.01994215557</v>
      </c>
      <c r="N22" s="181">
        <v>2.1623571049098375E-3</v>
      </c>
      <c r="O22" s="73">
        <f t="shared" ref="O22" si="118">N22*O$67</f>
        <v>22789.626442635214</v>
      </c>
      <c r="P22" s="181">
        <v>0</v>
      </c>
      <c r="Q22" s="73">
        <f t="shared" ref="Q22" si="119">P22*Q$67</f>
        <v>0</v>
      </c>
      <c r="R22" s="181">
        <v>0</v>
      </c>
      <c r="S22" s="73">
        <f t="shared" ref="S22" si="120">R22*S$67</f>
        <v>0</v>
      </c>
      <c r="T22" s="181">
        <v>0</v>
      </c>
      <c r="U22" s="73">
        <f t="shared" ref="U22" si="121">T22*U$67</f>
        <v>0</v>
      </c>
      <c r="V22" s="181">
        <v>0</v>
      </c>
      <c r="W22" s="73">
        <f t="shared" ref="W22" si="122">V22*W$67</f>
        <v>0</v>
      </c>
      <c r="X22" s="181">
        <v>0</v>
      </c>
      <c r="Y22" s="73">
        <f t="shared" ref="Y22" si="123">X22*Y$67</f>
        <v>0</v>
      </c>
      <c r="Z22" s="38">
        <v>500000</v>
      </c>
      <c r="AA22" s="73">
        <f t="shared" si="13"/>
        <v>500000</v>
      </c>
      <c r="AB22" s="74">
        <f t="shared" si="1"/>
        <v>1366494.4250859339</v>
      </c>
    </row>
    <row r="23" spans="1:28" ht="14">
      <c r="A23" s="37" t="s">
        <v>46</v>
      </c>
      <c r="B23" s="181">
        <v>4.0000007882070787E-3</v>
      </c>
      <c r="C23" s="73">
        <f t="shared" si="2"/>
        <v>430403.2962037145</v>
      </c>
      <c r="D23" s="181">
        <v>4.9997117070213551E-3</v>
      </c>
      <c r="E23" s="73">
        <f t="shared" si="0"/>
        <v>112381.20564386186</v>
      </c>
      <c r="F23" s="101">
        <v>6.2940979431287611E-3</v>
      </c>
      <c r="G23" s="73">
        <f t="shared" ref="G23" si="124">F23*G$67</f>
        <v>30909473.387314655</v>
      </c>
      <c r="H23" s="181">
        <v>9.6743633162504339E-3</v>
      </c>
      <c r="I23" s="73">
        <f t="shared" ref="I23" si="125">H23*I$67</f>
        <v>219555.11399999997</v>
      </c>
      <c r="J23" s="181">
        <v>4.395293938013062E-3</v>
      </c>
      <c r="K23" s="73">
        <f t="shared" ref="K23" si="126">J23*K$67</f>
        <v>1149961.2043050509</v>
      </c>
      <c r="L23" s="181">
        <v>4.3360021509393429E-3</v>
      </c>
      <c r="M23" s="73">
        <f t="shared" ref="M23" si="127">L23*M$67</f>
        <v>2718767.5791921392</v>
      </c>
      <c r="N23" s="181">
        <v>9.0965592500638053E-3</v>
      </c>
      <c r="O23" s="73">
        <f t="shared" ref="O23" si="128">N23*O$67</f>
        <v>95870.930269353456</v>
      </c>
      <c r="P23" s="181">
        <v>0</v>
      </c>
      <c r="Q23" s="73">
        <f t="shared" ref="Q23" si="129">P23*Q$67</f>
        <v>0</v>
      </c>
      <c r="R23" s="181">
        <v>0</v>
      </c>
      <c r="S23" s="73">
        <f t="shared" ref="S23" si="130">R23*S$67</f>
        <v>0</v>
      </c>
      <c r="T23" s="181">
        <v>1.2385730543621905E-4</v>
      </c>
      <c r="U23" s="73">
        <f t="shared" ref="U23" si="131">T23*U$67</f>
        <v>298555.61953655002</v>
      </c>
      <c r="V23" s="181">
        <v>1.4701659115240687E-2</v>
      </c>
      <c r="W23" s="73">
        <f t="shared" ref="W23" si="132">V23*W$67</f>
        <v>1050426.1929543894</v>
      </c>
      <c r="X23" s="181">
        <v>1.0366159355429982E-2</v>
      </c>
      <c r="Y23" s="73">
        <f t="shared" ref="Y23" si="133">X23*Y$67</f>
        <v>3442409.7479902217</v>
      </c>
      <c r="Z23" s="38">
        <v>1750000</v>
      </c>
      <c r="AA23" s="73">
        <f t="shared" si="13"/>
        <v>5192409.7479902217</v>
      </c>
      <c r="AB23" s="74">
        <f t="shared" si="1"/>
        <v>42177804.277409934</v>
      </c>
    </row>
    <row r="24" spans="1:28" ht="14">
      <c r="A24" s="37" t="s">
        <v>47</v>
      </c>
      <c r="B24" s="181">
        <v>4.0000007882070787E-3</v>
      </c>
      <c r="C24" s="73">
        <f t="shared" si="2"/>
        <v>430403.2962037145</v>
      </c>
      <c r="D24" s="181">
        <v>4.9997117070213551E-3</v>
      </c>
      <c r="E24" s="73">
        <f t="shared" si="0"/>
        <v>112381.20564386186</v>
      </c>
      <c r="F24" s="101">
        <v>2.115209012716042E-3</v>
      </c>
      <c r="G24" s="73">
        <f t="shared" ref="G24" si="134">F24*G$67</f>
        <v>10387508.627591291</v>
      </c>
      <c r="H24" s="181">
        <v>0</v>
      </c>
      <c r="I24" s="73">
        <f t="shared" ref="I24" si="135">H24*I$67</f>
        <v>0</v>
      </c>
      <c r="J24" s="181">
        <v>5.2717985889886602E-3</v>
      </c>
      <c r="K24" s="73">
        <f t="shared" ref="K24" si="136">J24*K$67</f>
        <v>1379285.1945159377</v>
      </c>
      <c r="L24" s="181">
        <v>1.2386698073794607E-2</v>
      </c>
      <c r="M24" s="73">
        <f t="shared" ref="M24" si="137">L24*M$67</f>
        <v>7766728.8815755947</v>
      </c>
      <c r="N24" s="181">
        <v>1.2063959116452144E-2</v>
      </c>
      <c r="O24" s="73">
        <f t="shared" ref="O24" si="138">N24*O$67</f>
        <v>127145.10524598649</v>
      </c>
      <c r="P24" s="181">
        <v>0</v>
      </c>
      <c r="Q24" s="73">
        <f t="shared" ref="Q24" si="139">P24*Q$67</f>
        <v>0</v>
      </c>
      <c r="R24" s="181">
        <v>4.1416639999999998E-2</v>
      </c>
      <c r="S24" s="73">
        <f t="shared" ref="S24" si="140">R24*S$67</f>
        <v>1242499.2</v>
      </c>
      <c r="T24" s="181">
        <v>0</v>
      </c>
      <c r="U24" s="73">
        <f t="shared" ref="U24" si="141">T24*U$67</f>
        <v>0</v>
      </c>
      <c r="V24" s="181">
        <v>0</v>
      </c>
      <c r="W24" s="73">
        <f t="shared" ref="W24" si="142">V24*W$67</f>
        <v>0</v>
      </c>
      <c r="X24" s="181">
        <v>3.0193503043309047E-3</v>
      </c>
      <c r="Y24" s="73">
        <f t="shared" ref="Y24" si="143">X24*Y$67</f>
        <v>1002670.3780876633</v>
      </c>
      <c r="Z24" s="38">
        <v>1750000</v>
      </c>
      <c r="AA24" s="73">
        <f t="shared" si="13"/>
        <v>2752670.3780876631</v>
      </c>
      <c r="AB24" s="74">
        <f t="shared" si="1"/>
        <v>24198621.888864048</v>
      </c>
    </row>
    <row r="25" spans="1:28" ht="14">
      <c r="A25" s="37" t="s">
        <v>122</v>
      </c>
      <c r="B25" s="181">
        <v>4.7704553788513099E-2</v>
      </c>
      <c r="C25" s="73">
        <f t="shared" si="2"/>
        <v>5133048.28714961</v>
      </c>
      <c r="D25" s="181">
        <v>4.3961645729089012E-2</v>
      </c>
      <c r="E25" s="73">
        <f t="shared" si="0"/>
        <v>988149.52513866045</v>
      </c>
      <c r="F25" s="101">
        <v>5.5272064405592521E-2</v>
      </c>
      <c r="G25" s="73">
        <f t="shared" ref="G25" si="144">F25*G$67</f>
        <v>271433717.62615949</v>
      </c>
      <c r="H25" s="181">
        <v>7.7014970899263235E-2</v>
      </c>
      <c r="I25" s="73">
        <f t="shared" ref="I25" si="145">H25*I$67</f>
        <v>1747818.452</v>
      </c>
      <c r="J25" s="181">
        <v>3.7887463031241582E-2</v>
      </c>
      <c r="K25" s="73">
        <f t="shared" ref="K25" si="146">J25*K$67</f>
        <v>9912673.2432292197</v>
      </c>
      <c r="L25" s="181">
        <v>2.6078669615529973E-2</v>
      </c>
      <c r="M25" s="73">
        <f t="shared" ref="M25" si="147">L25*M$67</f>
        <v>16351892.593919951</v>
      </c>
      <c r="N25" s="181">
        <v>2.5802915922351479E-2</v>
      </c>
      <c r="O25" s="73">
        <f t="shared" ref="O25" si="148">N25*O$67</f>
        <v>271943.43324047467</v>
      </c>
      <c r="P25" s="181">
        <v>0</v>
      </c>
      <c r="Q25" s="73">
        <f t="shared" ref="Q25" si="149">P25*Q$67</f>
        <v>0</v>
      </c>
      <c r="R25" s="181">
        <v>0</v>
      </c>
      <c r="S25" s="73">
        <f t="shared" ref="S25" si="150">R25*S$67</f>
        <v>0</v>
      </c>
      <c r="T25" s="181">
        <v>0.10463183896232617</v>
      </c>
      <c r="U25" s="73">
        <f t="shared" ref="U25" si="151">T25*U$67</f>
        <v>252213007.49782747</v>
      </c>
      <c r="V25" s="181">
        <v>0</v>
      </c>
      <c r="W25" s="73">
        <f t="shared" ref="W25" si="152">V25*W$67</f>
        <v>0</v>
      </c>
      <c r="X25" s="181">
        <v>4.4062629232095564E-2</v>
      </c>
      <c r="Y25" s="73">
        <f t="shared" ref="Y25" si="153">X25*Y$67</f>
        <v>14632384.009338142</v>
      </c>
      <c r="Z25" s="38">
        <v>1750000</v>
      </c>
      <c r="AA25" s="73">
        <f t="shared" si="13"/>
        <v>16382384.009338142</v>
      </c>
      <c r="AB25" s="74">
        <f t="shared" si="1"/>
        <v>574434634.66800308</v>
      </c>
    </row>
    <row r="26" spans="1:28" ht="14">
      <c r="A26" s="37" t="s">
        <v>48</v>
      </c>
      <c r="B26" s="181">
        <v>1.6268584714793696E-2</v>
      </c>
      <c r="C26" s="73">
        <f t="shared" si="2"/>
        <v>1750512.7765125029</v>
      </c>
      <c r="D26" s="181">
        <v>1.6437762914576107E-2</v>
      </c>
      <c r="E26" s="73">
        <f t="shared" si="0"/>
        <v>369480.42660815228</v>
      </c>
      <c r="F26" s="101">
        <v>1.1577362008344782E-2</v>
      </c>
      <c r="G26" s="73">
        <f t="shared" ref="G26" si="154">F26*G$67</f>
        <v>56854876.763222955</v>
      </c>
      <c r="H26" s="181">
        <v>0</v>
      </c>
      <c r="I26" s="73">
        <f t="shared" ref="I26" si="155">H26*I$67</f>
        <v>0</v>
      </c>
      <c r="J26" s="181">
        <v>2.0578006090248676E-2</v>
      </c>
      <c r="K26" s="73">
        <f t="shared" ref="K26" si="156">J26*K$67</f>
        <v>5383919.482854099</v>
      </c>
      <c r="L26" s="181">
        <v>2.5708246807689385E-2</v>
      </c>
      <c r="M26" s="73">
        <f t="shared" ref="M26" si="157">L26*M$67</f>
        <v>16119629.443328077</v>
      </c>
      <c r="N26" s="181">
        <v>2.6394568180055984E-2</v>
      </c>
      <c r="O26" s="73">
        <f t="shared" ref="O26" si="158">N26*O$67</f>
        <v>278179.00548079138</v>
      </c>
      <c r="P26" s="181">
        <v>0</v>
      </c>
      <c r="Q26" s="73">
        <f t="shared" ref="Q26" si="159">P26*Q$67</f>
        <v>0</v>
      </c>
      <c r="R26" s="181">
        <v>0</v>
      </c>
      <c r="S26" s="73">
        <f t="shared" ref="S26" si="160">R26*S$67</f>
        <v>0</v>
      </c>
      <c r="T26" s="181">
        <v>1.1069161214109289E-3</v>
      </c>
      <c r="U26" s="73">
        <f t="shared" ref="U26" si="161">T26*U$67</f>
        <v>2668199.7257966767</v>
      </c>
      <c r="V26" s="181">
        <v>0</v>
      </c>
      <c r="W26" s="73">
        <f t="shared" ref="W26" si="162">V26*W$67</f>
        <v>0</v>
      </c>
      <c r="X26" s="181">
        <v>1.3066973341810215E-2</v>
      </c>
      <c r="Y26" s="73">
        <f t="shared" ref="Y26" si="163">X26*Y$67</f>
        <v>4339300.1078083487</v>
      </c>
      <c r="Z26" s="38">
        <v>1750000</v>
      </c>
      <c r="AA26" s="73">
        <f t="shared" si="13"/>
        <v>6089300.1078083487</v>
      </c>
      <c r="AB26" s="74">
        <f t="shared" si="1"/>
        <v>89514097.731611609</v>
      </c>
    </row>
    <row r="27" spans="1:28" ht="14">
      <c r="A27" s="37" t="s">
        <v>49</v>
      </c>
      <c r="B27" s="181">
        <v>4.3500210315230376E-3</v>
      </c>
      <c r="C27" s="73">
        <f t="shared" si="2"/>
        <v>468065.75539756397</v>
      </c>
      <c r="D27" s="181">
        <v>5.4368433014395316E-3</v>
      </c>
      <c r="E27" s="73">
        <f t="shared" si="0"/>
        <v>122206.84729770942</v>
      </c>
      <c r="F27" s="101">
        <v>4.1701823315996285E-3</v>
      </c>
      <c r="G27" s="73">
        <f t="shared" ref="G27" si="164">F27*G$67</f>
        <v>20479207.817149717</v>
      </c>
      <c r="H27" s="181">
        <v>0</v>
      </c>
      <c r="I27" s="73">
        <f t="shared" ref="I27" si="165">H27*I$67</f>
        <v>0</v>
      </c>
      <c r="J27" s="181">
        <v>9.2896155252231629E-3</v>
      </c>
      <c r="K27" s="73">
        <f t="shared" ref="K27" si="166">J27*K$67</f>
        <v>2430485.3344451748</v>
      </c>
      <c r="L27" s="181">
        <v>1.965541975786389E-2</v>
      </c>
      <c r="M27" s="73">
        <f t="shared" ref="M27" si="167">L27*M$67</f>
        <v>12324375.342276094</v>
      </c>
      <c r="N27" s="181">
        <v>1.9733958098018877E-2</v>
      </c>
      <c r="O27" s="73">
        <f t="shared" ref="O27" si="168">N27*O$67</f>
        <v>207981.15735246165</v>
      </c>
      <c r="P27" s="181">
        <v>0</v>
      </c>
      <c r="Q27" s="73">
        <f t="shared" ref="Q27" si="169">P27*Q$67</f>
        <v>0</v>
      </c>
      <c r="R27" s="181">
        <v>0</v>
      </c>
      <c r="S27" s="73">
        <f t="shared" ref="S27" si="170">R27*S$67</f>
        <v>0</v>
      </c>
      <c r="T27" s="181">
        <v>0</v>
      </c>
      <c r="U27" s="73">
        <f t="shared" ref="U27" si="171">T27*U$67</f>
        <v>0</v>
      </c>
      <c r="V27" s="181">
        <v>0</v>
      </c>
      <c r="W27" s="73">
        <f t="shared" ref="W27" si="172">V27*W$67</f>
        <v>0</v>
      </c>
      <c r="X27" s="181">
        <v>5.530684206394073E-3</v>
      </c>
      <c r="Y27" s="73">
        <f t="shared" ref="Y27" si="173">X27*Y$67</f>
        <v>1836637.9072856533</v>
      </c>
      <c r="Z27" s="38">
        <v>1750000</v>
      </c>
      <c r="AA27" s="73">
        <f t="shared" si="13"/>
        <v>3586637.9072856531</v>
      </c>
      <c r="AB27" s="74">
        <f t="shared" si="1"/>
        <v>39618960.161204375</v>
      </c>
    </row>
    <row r="28" spans="1:28" ht="14">
      <c r="A28" s="37" t="s">
        <v>50</v>
      </c>
      <c r="B28" s="181">
        <v>5.8977219304703959E-3</v>
      </c>
      <c r="C28" s="73">
        <f t="shared" si="2"/>
        <v>634599.61469287111</v>
      </c>
      <c r="D28" s="181">
        <v>6.1328929805395472E-3</v>
      </c>
      <c r="E28" s="73">
        <f t="shared" si="0"/>
        <v>137852.3298193177</v>
      </c>
      <c r="F28" s="101">
        <v>3.6559484357050662E-3</v>
      </c>
      <c r="G28" s="73">
        <f t="shared" ref="G28" si="174">F28*G$67</f>
        <v>17953873.91487699</v>
      </c>
      <c r="H28" s="181">
        <v>0</v>
      </c>
      <c r="I28" s="73">
        <f t="shared" ref="I28" si="175">H28*I$67</f>
        <v>0</v>
      </c>
      <c r="J28" s="181">
        <v>8.1962927949747761E-3</v>
      </c>
      <c r="K28" s="73">
        <f t="shared" ref="K28" si="176">J28*K$67</f>
        <v>2144434.2212996255</v>
      </c>
      <c r="L28" s="181">
        <v>1.770502651767732E-2</v>
      </c>
      <c r="M28" s="73">
        <f t="shared" ref="M28" si="177">L28*M$67</f>
        <v>11101436.394483831</v>
      </c>
      <c r="N28" s="181">
        <v>1.701019083329039E-2</v>
      </c>
      <c r="O28" s="73">
        <f t="shared" ref="O28" si="178">N28*O$67</f>
        <v>179274.6877601374</v>
      </c>
      <c r="P28" s="181">
        <v>0</v>
      </c>
      <c r="Q28" s="73">
        <f t="shared" ref="Q28" si="179">P28*Q$67</f>
        <v>0</v>
      </c>
      <c r="R28" s="181">
        <v>3.5838799999999998E-3</v>
      </c>
      <c r="S28" s="73">
        <f t="shared" ref="S28" si="180">R28*S$67</f>
        <v>107516.4</v>
      </c>
      <c r="T28" s="181">
        <v>0</v>
      </c>
      <c r="U28" s="73">
        <f t="shared" ref="U28" si="181">T28*U$67</f>
        <v>0</v>
      </c>
      <c r="V28" s="181">
        <v>0</v>
      </c>
      <c r="W28" s="73">
        <f t="shared" ref="W28" si="182">V28*W$67</f>
        <v>0</v>
      </c>
      <c r="X28" s="181">
        <v>4.9327165828193728E-3</v>
      </c>
      <c r="Y28" s="73">
        <f t="shared" ref="Y28" si="183">X28*Y$67</f>
        <v>1638063.9218975315</v>
      </c>
      <c r="Z28" s="38">
        <v>1750000</v>
      </c>
      <c r="AA28" s="73">
        <f t="shared" si="13"/>
        <v>3388063.9218975315</v>
      </c>
      <c r="AB28" s="74">
        <f t="shared" si="1"/>
        <v>35647051.484830305</v>
      </c>
    </row>
    <row r="29" spans="1:28" ht="14">
      <c r="A29" s="37" t="s">
        <v>51</v>
      </c>
      <c r="B29" s="181">
        <v>6.5866899843342909E-3</v>
      </c>
      <c r="C29" s="73">
        <f t="shared" si="2"/>
        <v>708733.13042525027</v>
      </c>
      <c r="D29" s="181">
        <v>7.6200570030074575E-3</v>
      </c>
      <c r="E29" s="73">
        <f t="shared" si="0"/>
        <v>171280.11438545791</v>
      </c>
      <c r="F29" s="101">
        <v>5.1300784173562959E-3</v>
      </c>
      <c r="G29" s="73">
        <f t="shared" ref="G29" si="184">F29*G$67</f>
        <v>25193129.142392788</v>
      </c>
      <c r="H29" s="181">
        <v>0</v>
      </c>
      <c r="I29" s="73">
        <f t="shared" ref="I29" si="185">H29*I$67</f>
        <v>0</v>
      </c>
      <c r="J29" s="181">
        <v>1.3276876815404265E-2</v>
      </c>
      <c r="K29" s="73">
        <f t="shared" ref="K29" si="186">J29*K$67</f>
        <v>3473691.05852204</v>
      </c>
      <c r="L29" s="181">
        <v>2.6934131716115035E-2</v>
      </c>
      <c r="M29" s="73">
        <f t="shared" ref="M29" si="187">L29*M$67</f>
        <v>16888285.921998538</v>
      </c>
      <c r="N29" s="181">
        <v>2.5733104724428066E-2</v>
      </c>
      <c r="O29" s="73">
        <f t="shared" ref="O29" si="188">N29*O$67</f>
        <v>271207.67543313792</v>
      </c>
      <c r="P29" s="181">
        <v>8.8200000000000001E-2</v>
      </c>
      <c r="Q29" s="73">
        <f t="shared" ref="Q29" si="189">P29*Q$67</f>
        <v>1764000</v>
      </c>
      <c r="R29" s="181">
        <v>0</v>
      </c>
      <c r="S29" s="73">
        <f t="shared" ref="S29" si="190">R29*S$67</f>
        <v>0</v>
      </c>
      <c r="T29" s="181">
        <v>0</v>
      </c>
      <c r="U29" s="73">
        <f t="shared" ref="U29" si="191">T29*U$67</f>
        <v>0</v>
      </c>
      <c r="V29" s="181">
        <v>0</v>
      </c>
      <c r="W29" s="73">
        <f t="shared" ref="W29" si="192">V29*W$67</f>
        <v>0</v>
      </c>
      <c r="X29" s="181">
        <v>7.2346981091170699E-3</v>
      </c>
      <c r="Y29" s="73">
        <f t="shared" ref="Y29" si="193">X29*Y$67</f>
        <v>2402509.4001227603</v>
      </c>
      <c r="Z29" s="38">
        <v>1750000</v>
      </c>
      <c r="AA29" s="73">
        <f t="shared" si="13"/>
        <v>4152509.4001227603</v>
      </c>
      <c r="AB29" s="74">
        <f t="shared" si="1"/>
        <v>52622836.443279974</v>
      </c>
    </row>
    <row r="30" spans="1:28" ht="14">
      <c r="A30" s="37" t="s">
        <v>52</v>
      </c>
      <c r="B30" s="181">
        <v>9.531262727726279E-3</v>
      </c>
      <c r="C30" s="73">
        <f t="shared" si="2"/>
        <v>1025571.5216585661</v>
      </c>
      <c r="D30" s="181">
        <v>1.1912588870511758E-2</v>
      </c>
      <c r="E30" s="73">
        <f t="shared" si="0"/>
        <v>267765.65891342977</v>
      </c>
      <c r="F30" s="101">
        <v>7.0379413800599495E-3</v>
      </c>
      <c r="G30" s="73">
        <f t="shared" ref="G30" si="194">F30*G$67</f>
        <v>34562389.043521322</v>
      </c>
      <c r="H30" s="181">
        <v>1.2964103484238503E-2</v>
      </c>
      <c r="I30" s="73">
        <f t="shared" ref="I30" si="195">H30*I$67</f>
        <v>294214.21600000001</v>
      </c>
      <c r="J30" s="181">
        <v>1.5663002055443003E-2</v>
      </c>
      <c r="K30" s="73">
        <f t="shared" ref="K30" si="196">J30*K$67</f>
        <v>4097984.107714117</v>
      </c>
      <c r="L30" s="181">
        <v>1.841591101324818E-2</v>
      </c>
      <c r="M30" s="73">
        <f t="shared" ref="M30" si="197">L30*M$67</f>
        <v>11547176.422239516</v>
      </c>
      <c r="N30" s="181">
        <v>1.9546946994269922E-2</v>
      </c>
      <c r="O30" s="73">
        <f t="shared" ref="O30" si="198">N30*O$67</f>
        <v>206010.20020325328</v>
      </c>
      <c r="P30" s="181">
        <v>0</v>
      </c>
      <c r="Q30" s="73">
        <f t="shared" ref="Q30" si="199">P30*Q$67</f>
        <v>0</v>
      </c>
      <c r="R30" s="181">
        <v>0</v>
      </c>
      <c r="S30" s="73">
        <f t="shared" ref="S30" si="200">R30*S$67</f>
        <v>0</v>
      </c>
      <c r="T30" s="181">
        <v>1.6571689170716635E-3</v>
      </c>
      <c r="U30" s="73">
        <f t="shared" ref="U30" si="201">T30*U$67</f>
        <v>3994573.3598073618</v>
      </c>
      <c r="V30" s="181">
        <v>6.3462052403915467E-3</v>
      </c>
      <c r="W30" s="73">
        <f t="shared" ref="W30" si="202">V30*W$67</f>
        <v>453433.19132335583</v>
      </c>
      <c r="X30" s="181">
        <v>9.5044023996227345E-3</v>
      </c>
      <c r="Y30" s="73">
        <f t="shared" ref="Y30" si="203">X30*Y$67</f>
        <v>3156236.205470317</v>
      </c>
      <c r="Z30" s="38">
        <v>1750000</v>
      </c>
      <c r="AA30" s="73">
        <f t="shared" si="13"/>
        <v>4906236.205470317</v>
      </c>
      <c r="AB30" s="74">
        <f t="shared" si="1"/>
        <v>61355353.926851243</v>
      </c>
    </row>
    <row r="31" spans="1:28" ht="14">
      <c r="A31" s="37" t="s">
        <v>53</v>
      </c>
      <c r="B31" s="181">
        <v>4.0000007882070787E-3</v>
      </c>
      <c r="C31" s="73">
        <f t="shared" si="2"/>
        <v>430403.2962037145</v>
      </c>
      <c r="D31" s="181">
        <v>4.9997117070213551E-3</v>
      </c>
      <c r="E31" s="73">
        <f t="shared" si="0"/>
        <v>112381.20564386186</v>
      </c>
      <c r="F31" s="101">
        <v>2.706324777368469E-3</v>
      </c>
      <c r="G31" s="73">
        <f t="shared" ref="G31" si="204">F31*G$67</f>
        <v>13290399.107122643</v>
      </c>
      <c r="H31" s="181">
        <v>0</v>
      </c>
      <c r="I31" s="73">
        <f t="shared" ref="I31" si="205">H31*I$67</f>
        <v>0</v>
      </c>
      <c r="J31" s="181">
        <v>4.2678745247134702E-3</v>
      </c>
      <c r="K31" s="73">
        <f t="shared" ref="K31" si="206">J31*K$67</f>
        <v>1116623.8703209488</v>
      </c>
      <c r="L31" s="181">
        <v>1.1074647454818532E-2</v>
      </c>
      <c r="M31" s="73">
        <f t="shared" ref="M31" si="207">L31*M$67</f>
        <v>6944044.6298257774</v>
      </c>
      <c r="N31" s="181">
        <v>1.3629764932224255E-2</v>
      </c>
      <c r="O31" s="73">
        <f t="shared" ref="O31" si="208">N31*O$67</f>
        <v>143647.52732147434</v>
      </c>
      <c r="P31" s="181">
        <v>0</v>
      </c>
      <c r="Q31" s="73">
        <f t="shared" ref="Q31" si="209">P31*Q$67</f>
        <v>0</v>
      </c>
      <c r="R31" s="181">
        <v>2.0924400000000001E-3</v>
      </c>
      <c r="S31" s="73">
        <f t="shared" ref="S31" si="210">R31*S$67</f>
        <v>62773.200000000004</v>
      </c>
      <c r="T31" s="181">
        <v>3.2934854087348195E-3</v>
      </c>
      <c r="U31" s="73">
        <f t="shared" ref="U31" si="211">T31*U$67</f>
        <v>7938882.3547898121</v>
      </c>
      <c r="V31" s="181">
        <v>0</v>
      </c>
      <c r="W31" s="73">
        <f t="shared" ref="W31" si="212">V31*W$67</f>
        <v>0</v>
      </c>
      <c r="X31" s="181">
        <v>1.3062813347491909E-3</v>
      </c>
      <c r="Y31" s="73">
        <f t="shared" ref="Y31" si="213">X31*Y$67</f>
        <v>433791.86506551341</v>
      </c>
      <c r="Z31" s="38">
        <v>1750000</v>
      </c>
      <c r="AA31" s="73">
        <f t="shared" si="13"/>
        <v>2183791.8650655132</v>
      </c>
      <c r="AB31" s="74">
        <f t="shared" si="1"/>
        <v>32222947.056293741</v>
      </c>
    </row>
    <row r="32" spans="1:28" ht="14">
      <c r="A32" s="37" t="s">
        <v>54</v>
      </c>
      <c r="B32" s="181">
        <v>2.2508153931850437E-2</v>
      </c>
      <c r="C32" s="73">
        <f t="shared" si="2"/>
        <v>2421895.4336934751</v>
      </c>
      <c r="D32" s="181">
        <v>2.0663470171890269E-2</v>
      </c>
      <c r="E32" s="73">
        <f t="shared" si="0"/>
        <v>464463.91847790743</v>
      </c>
      <c r="F32" s="101">
        <v>3.1861773765825649E-2</v>
      </c>
      <c r="G32" s="73">
        <f t="shared" ref="G32" si="214">F32*G$67</f>
        <v>156468910.58671296</v>
      </c>
      <c r="H32" s="181">
        <v>2.7261929059244391E-2</v>
      </c>
      <c r="I32" s="73">
        <f t="shared" ref="I32" si="215">H32*I$67</f>
        <v>618696.62600000005</v>
      </c>
      <c r="J32" s="181">
        <v>1.750911926983759E-2</v>
      </c>
      <c r="K32" s="73">
        <f t="shared" ref="K32" si="216">J32*K$67</f>
        <v>4580992.3444995712</v>
      </c>
      <c r="L32" s="181">
        <v>8.9155321929826146E-3</v>
      </c>
      <c r="M32" s="73">
        <f t="shared" ref="M32" si="217">L32*M$67</f>
        <v>5590232.43848571</v>
      </c>
      <c r="N32" s="181">
        <v>1.3403561577009523E-2</v>
      </c>
      <c r="O32" s="73">
        <f t="shared" ref="O32" si="218">N32*O$67</f>
        <v>141263.51315762076</v>
      </c>
      <c r="P32" s="181">
        <v>3.1800000000000002E-2</v>
      </c>
      <c r="Q32" s="73">
        <f t="shared" ref="Q32" si="219">P32*Q$67</f>
        <v>636000</v>
      </c>
      <c r="R32" s="181">
        <v>0</v>
      </c>
      <c r="S32" s="73">
        <f t="shared" ref="S32" si="220">R32*S$67</f>
        <v>0</v>
      </c>
      <c r="T32" s="181">
        <v>2.4820515460663432E-2</v>
      </c>
      <c r="U32" s="73">
        <f t="shared" ref="U32" si="221">T32*U$67</f>
        <v>59829368.51787772</v>
      </c>
      <c r="V32" s="181">
        <v>0</v>
      </c>
      <c r="W32" s="73">
        <f t="shared" ref="W32" si="222">V32*W$67</f>
        <v>0</v>
      </c>
      <c r="X32" s="181">
        <v>2.295667355980802E-2</v>
      </c>
      <c r="Y32" s="73">
        <f t="shared" ref="Y32" si="223">X32*Y$67</f>
        <v>7623486.5907513872</v>
      </c>
      <c r="Z32" s="38">
        <v>1750000</v>
      </c>
      <c r="AA32" s="73">
        <f t="shared" si="13"/>
        <v>9373486.5907513872</v>
      </c>
      <c r="AB32" s="74">
        <f t="shared" si="1"/>
        <v>240125309.96965632</v>
      </c>
    </row>
    <row r="33" spans="1:28" ht="14">
      <c r="A33" s="37" t="s">
        <v>55</v>
      </c>
      <c r="B33" s="181">
        <v>2.6761469461587657E-2</v>
      </c>
      <c r="C33" s="73">
        <f t="shared" si="2"/>
        <v>2879555.5994590661</v>
      </c>
      <c r="D33" s="181">
        <v>2.5332856176809103E-2</v>
      </c>
      <c r="E33" s="73">
        <f t="shared" si="0"/>
        <v>569420.21588049934</v>
      </c>
      <c r="F33" s="101">
        <v>4.0081683561920149E-2</v>
      </c>
      <c r="G33" s="73">
        <f t="shared" ref="G33" si="224">F33*G$67</f>
        <v>196835788.47520855</v>
      </c>
      <c r="H33" s="181">
        <v>5.1526044879055322E-2</v>
      </c>
      <c r="I33" s="73">
        <f t="shared" ref="I33" si="225">H33*I$67</f>
        <v>1169359.294</v>
      </c>
      <c r="J33" s="181">
        <v>2.2606431797646258E-2</v>
      </c>
      <c r="K33" s="73">
        <f t="shared" ref="K33" si="226">J33*K$67</f>
        <v>5914625.9389453446</v>
      </c>
      <c r="L33" s="181">
        <v>5.8954713375621703E-3</v>
      </c>
      <c r="M33" s="73">
        <f t="shared" ref="M33" si="227">L33*M$67</f>
        <v>3696588.6497884183</v>
      </c>
      <c r="N33" s="181">
        <v>1.0985701140428569E-2</v>
      </c>
      <c r="O33" s="73">
        <f t="shared" ref="O33" si="228">N33*O$67</f>
        <v>115781.07271566408</v>
      </c>
      <c r="P33" s="181">
        <v>0</v>
      </c>
      <c r="Q33" s="73">
        <f t="shared" ref="Q33" si="229">P33*Q$67</f>
        <v>0</v>
      </c>
      <c r="R33" s="181">
        <v>0</v>
      </c>
      <c r="S33" s="73">
        <f t="shared" ref="S33" si="230">R33*S$67</f>
        <v>0</v>
      </c>
      <c r="T33" s="181">
        <v>5.7666060826049401E-2</v>
      </c>
      <c r="U33" s="73">
        <f t="shared" ref="U33" si="231">T33*U$67</f>
        <v>139002915.13300598</v>
      </c>
      <c r="V33" s="181">
        <v>7.1192526277808572E-4</v>
      </c>
      <c r="W33" s="73">
        <f t="shared" ref="W33" si="232">V33*W$67</f>
        <v>50866.704062862838</v>
      </c>
      <c r="X33" s="181">
        <v>2.332246484163791E-2</v>
      </c>
      <c r="Y33" s="73">
        <f t="shared" ref="Y33" si="233">X33*Y$67</f>
        <v>7744959.1083083795</v>
      </c>
      <c r="Z33" s="38">
        <v>1750000</v>
      </c>
      <c r="AA33" s="73">
        <f t="shared" si="13"/>
        <v>9494959.1083083786</v>
      </c>
      <c r="AB33" s="74">
        <f t="shared" si="1"/>
        <v>359729860.19137478</v>
      </c>
    </row>
    <row r="34" spans="1:28" ht="14">
      <c r="A34" s="37" t="s">
        <v>56</v>
      </c>
      <c r="B34" s="181">
        <v>2.8064272544592088E-2</v>
      </c>
      <c r="C34" s="73">
        <f t="shared" si="2"/>
        <v>3019738.2571431925</v>
      </c>
      <c r="D34" s="181">
        <v>2.8106884981926147E-2</v>
      </c>
      <c r="E34" s="73">
        <f t="shared" si="0"/>
        <v>631773.55140823592</v>
      </c>
      <c r="F34" s="101">
        <v>1.7906727820711423E-2</v>
      </c>
      <c r="G34" s="73">
        <f t="shared" ref="G34" si="234">F34*G$67</f>
        <v>87937545.940543637</v>
      </c>
      <c r="H34" s="181">
        <v>1.3049734785192828E-2</v>
      </c>
      <c r="I34" s="73">
        <f t="shared" ref="I34" si="235">H34*I$67</f>
        <v>296157.57799999998</v>
      </c>
      <c r="J34" s="181">
        <v>3.4075173305705156E-2</v>
      </c>
      <c r="K34" s="73">
        <f t="shared" ref="K34" si="236">J34*K$67</f>
        <v>8915246.1437530313</v>
      </c>
      <c r="L34" s="181">
        <v>3.3386737908759678E-2</v>
      </c>
      <c r="M34" s="73">
        <f t="shared" ref="M34" si="237">L34*M$67</f>
        <v>20934210.233649578</v>
      </c>
      <c r="N34" s="181">
        <v>3.1572938617114597E-2</v>
      </c>
      <c r="O34" s="73">
        <f t="shared" ref="O34" si="238">N34*O$67</f>
        <v>332755.15646630223</v>
      </c>
      <c r="P34" s="181">
        <v>0</v>
      </c>
      <c r="Q34" s="73">
        <f t="shared" ref="Q34" si="239">P34*Q$67</f>
        <v>0</v>
      </c>
      <c r="R34" s="181">
        <v>1.4982000000000001E-3</v>
      </c>
      <c r="S34" s="73">
        <f t="shared" ref="S34" si="240">R34*S$67</f>
        <v>44946</v>
      </c>
      <c r="T34" s="181">
        <v>5.1262796285633219E-4</v>
      </c>
      <c r="U34" s="73">
        <f t="shared" ref="U34" si="241">T34*U$67</f>
        <v>1235679.7082199131</v>
      </c>
      <c r="V34" s="181">
        <v>0</v>
      </c>
      <c r="W34" s="73">
        <f t="shared" ref="W34" si="242">V34*W$67</f>
        <v>0</v>
      </c>
      <c r="X34" s="181">
        <v>2.5822289101344945E-2</v>
      </c>
      <c r="Y34" s="73">
        <f t="shared" ref="Y34" si="243">X34*Y$67</f>
        <v>8575104.4982082807</v>
      </c>
      <c r="Z34" s="38">
        <v>1750000</v>
      </c>
      <c r="AA34" s="73">
        <f t="shared" si="13"/>
        <v>10325104.498208281</v>
      </c>
      <c r="AB34" s="74">
        <f t="shared" si="1"/>
        <v>133673157.06739219</v>
      </c>
    </row>
    <row r="35" spans="1:28" ht="14">
      <c r="A35" s="37" t="s">
        <v>57</v>
      </c>
      <c r="B35" s="181">
        <v>1.4502728740063465E-2</v>
      </c>
      <c r="C35" s="73">
        <f t="shared" si="2"/>
        <v>1560505.2559175924</v>
      </c>
      <c r="D35" s="181">
        <v>1.3179201125970673E-2</v>
      </c>
      <c r="E35" s="73">
        <f t="shared" si="0"/>
        <v>296235.98294268607</v>
      </c>
      <c r="F35" s="101">
        <v>1.241161356739663E-2</v>
      </c>
      <c r="G35" s="73">
        <f t="shared" ref="G35" si="244">F35*G$67</f>
        <v>60951774.618298374</v>
      </c>
      <c r="H35" s="181">
        <v>1.412113532122952E-2</v>
      </c>
      <c r="I35" s="73">
        <f t="shared" ref="I35" si="245">H35*I$67</f>
        <v>320472.50800000003</v>
      </c>
      <c r="J35" s="181">
        <v>1.4226622577048351E-2</v>
      </c>
      <c r="K35" s="73">
        <f t="shared" ref="K35" si="246">J35*K$67</f>
        <v>3722177.4613080113</v>
      </c>
      <c r="L35" s="181">
        <v>2.4944885073894217E-2</v>
      </c>
      <c r="M35" s="73">
        <f t="shared" ref="M35" si="247">L35*M$67</f>
        <v>15640985.046763701</v>
      </c>
      <c r="N35" s="181">
        <v>2.3183629924150746E-2</v>
      </c>
      <c r="O35" s="73">
        <f t="shared" ref="O35" si="248">N35*O$67</f>
        <v>244338.11804536561</v>
      </c>
      <c r="P35" s="181">
        <v>0</v>
      </c>
      <c r="Q35" s="73">
        <f t="shared" ref="Q35" si="249">P35*Q$67</f>
        <v>0</v>
      </c>
      <c r="R35" s="181">
        <v>6.4973760000000005E-2</v>
      </c>
      <c r="S35" s="73">
        <f t="shared" ref="S35" si="250">R35*S$67</f>
        <v>1949212.8</v>
      </c>
      <c r="T35" s="181">
        <v>2.9883284321942211E-3</v>
      </c>
      <c r="U35" s="73">
        <f t="shared" ref="U35" si="251">T35*U$67</f>
        <v>7203307.413399742</v>
      </c>
      <c r="V35" s="181">
        <v>0.10960952530449433</v>
      </c>
      <c r="W35" s="73">
        <f t="shared" ref="W35" si="252">V35*W$67</f>
        <v>7831545.7782434681</v>
      </c>
      <c r="X35" s="181">
        <v>1.4769228994015121E-2</v>
      </c>
      <c r="Y35" s="73">
        <f t="shared" ref="Y35" si="253">X35*Y$67</f>
        <v>4904587.7181760324</v>
      </c>
      <c r="Z35" s="38">
        <v>1750000</v>
      </c>
      <c r="AA35" s="73">
        <f t="shared" si="13"/>
        <v>6654587.7181760324</v>
      </c>
      <c r="AB35" s="74">
        <f t="shared" si="1"/>
        <v>106375142.70109497</v>
      </c>
    </row>
    <row r="36" spans="1:28" ht="14">
      <c r="A36" s="37" t="s">
        <v>58</v>
      </c>
      <c r="B36" s="181">
        <v>4.0000007882070787E-3</v>
      </c>
      <c r="C36" s="73">
        <f t="shared" si="2"/>
        <v>430403.2962037145</v>
      </c>
      <c r="D36" s="181">
        <v>4.9997117070213551E-3</v>
      </c>
      <c r="E36" s="73">
        <f t="shared" si="0"/>
        <v>112381.20564386186</v>
      </c>
      <c r="F36" s="101">
        <v>1.7379803327413671E-3</v>
      </c>
      <c r="G36" s="73">
        <f t="shared" ref="G36" si="254">F36*G$67</f>
        <v>8534989.0211339183</v>
      </c>
      <c r="H36" s="181">
        <v>0</v>
      </c>
      <c r="I36" s="73">
        <f t="shared" ref="I36" si="255">H36*I$67</f>
        <v>0</v>
      </c>
      <c r="J36" s="181">
        <v>8.044116589003978E-3</v>
      </c>
      <c r="K36" s="73">
        <f t="shared" ref="K36" si="256">J36*K$67</f>
        <v>2104619.6524555995</v>
      </c>
      <c r="L36" s="181">
        <v>2.2599961708368969E-2</v>
      </c>
      <c r="M36" s="73">
        <f t="shared" ref="M36" si="257">L36*M$67</f>
        <v>14170667.136404954</v>
      </c>
      <c r="N36" s="181">
        <v>2.2570120449282634E-2</v>
      </c>
      <c r="O36" s="73">
        <f t="shared" ref="O36" si="258">N36*O$67</f>
        <v>237872.18708534291</v>
      </c>
      <c r="P36" s="181">
        <v>1.2699999999999999E-2</v>
      </c>
      <c r="Q36" s="73">
        <f t="shared" ref="Q36" si="259">P36*Q$67</f>
        <v>254000</v>
      </c>
      <c r="R36" s="181">
        <v>3.0188320000000001E-2</v>
      </c>
      <c r="S36" s="73">
        <f t="shared" ref="S36" si="260">R36*S$67</f>
        <v>905649.6</v>
      </c>
      <c r="T36" s="181">
        <v>0</v>
      </c>
      <c r="U36" s="73">
        <f t="shared" ref="U36" si="261">T36*U$67</f>
        <v>0</v>
      </c>
      <c r="V36" s="181">
        <v>0</v>
      </c>
      <c r="W36" s="73">
        <f t="shared" ref="W36" si="262">V36*W$67</f>
        <v>0</v>
      </c>
      <c r="X36" s="181">
        <v>2.2617568348459508E-3</v>
      </c>
      <c r="Y36" s="73">
        <f t="shared" ref="Y36" si="263">X36*Y$67</f>
        <v>751087.60235089564</v>
      </c>
      <c r="Z36" s="38">
        <v>1750000</v>
      </c>
      <c r="AA36" s="73">
        <f t="shared" si="13"/>
        <v>2501087.6023508958</v>
      </c>
      <c r="AB36" s="74">
        <f t="shared" si="1"/>
        <v>29251669.701278284</v>
      </c>
    </row>
    <row r="37" spans="1:28" ht="14">
      <c r="A37" s="37" t="s">
        <v>59</v>
      </c>
      <c r="B37" s="181">
        <v>1.5553990547464145E-2</v>
      </c>
      <c r="C37" s="73">
        <f t="shared" si="2"/>
        <v>1673621.8703973452</v>
      </c>
      <c r="D37" s="181">
        <v>1.4524641105794968E-2</v>
      </c>
      <c r="E37" s="73">
        <f t="shared" si="0"/>
        <v>326478.16007497278</v>
      </c>
      <c r="F37" s="101">
        <v>1.0028096015122594E-2</v>
      </c>
      <c r="G37" s="73">
        <f t="shared" ref="G37" si="264">F37*G$67</f>
        <v>49246638.629647218</v>
      </c>
      <c r="H37" s="181">
        <v>3.0173169008556402E-2</v>
      </c>
      <c r="I37" s="73">
        <f t="shared" ref="I37" si="265">H37*I$67</f>
        <v>684765.84400000004</v>
      </c>
      <c r="J37" s="181">
        <v>1.891439157024296E-2</v>
      </c>
      <c r="K37" s="73">
        <f t="shared" ref="K37" si="266">J37*K$67</f>
        <v>4948660.2751866421</v>
      </c>
      <c r="L37" s="181">
        <v>2.828471879090658E-2</v>
      </c>
      <c r="M37" s="73">
        <f t="shared" ref="M37" si="267">L37*M$67</f>
        <v>17735133.369023841</v>
      </c>
      <c r="N37" s="181">
        <v>2.6024314458275938E-2</v>
      </c>
      <c r="O37" s="73">
        <f t="shared" ref="O37" si="268">N37*O$67</f>
        <v>274276.80820301361</v>
      </c>
      <c r="P37" s="181">
        <v>0</v>
      </c>
      <c r="Q37" s="73">
        <f t="shared" ref="Q37" si="269">P37*Q$67</f>
        <v>0</v>
      </c>
      <c r="R37" s="181">
        <v>0</v>
      </c>
      <c r="S37" s="73">
        <f t="shared" ref="S37" si="270">R37*S$67</f>
        <v>0</v>
      </c>
      <c r="T37" s="181">
        <v>7.1253402151907107E-3</v>
      </c>
      <c r="U37" s="73">
        <f t="shared" ref="U37" si="271">T37*U$67</f>
        <v>17175493.644583013</v>
      </c>
      <c r="V37" s="181">
        <v>4.1361788010482975E-4</v>
      </c>
      <c r="W37" s="73">
        <f t="shared" ref="W37" si="272">V37*W$67</f>
        <v>29552.790724550032</v>
      </c>
      <c r="X37" s="181">
        <v>1.2480709934853387E-2</v>
      </c>
      <c r="Y37" s="73">
        <f t="shared" ref="Y37" si="273">X37*Y$67</f>
        <v>4144612.8762310152</v>
      </c>
      <c r="Z37" s="38">
        <v>1750000</v>
      </c>
      <c r="AA37" s="73">
        <f t="shared" si="13"/>
        <v>5894612.8762310147</v>
      </c>
      <c r="AB37" s="74">
        <f t="shared" si="1"/>
        <v>97989234.268071607</v>
      </c>
    </row>
    <row r="38" spans="1:28" ht="14">
      <c r="A38" s="37" t="s">
        <v>123</v>
      </c>
      <c r="B38" s="181">
        <v>4.0000007882070787E-3</v>
      </c>
      <c r="C38" s="73">
        <f t="shared" si="2"/>
        <v>430403.2962037145</v>
      </c>
      <c r="D38" s="181">
        <v>4.9997117070213551E-3</v>
      </c>
      <c r="E38" s="73">
        <f t="shared" si="0"/>
        <v>112381.20564386186</v>
      </c>
      <c r="F38" s="101">
        <v>9.1927786218556678E-4</v>
      </c>
      <c r="G38" s="73">
        <f t="shared" ref="G38" si="274">F38*G$67</f>
        <v>4514450.660525891</v>
      </c>
      <c r="H38" s="181">
        <v>0</v>
      </c>
      <c r="I38" s="73">
        <f t="shared" ref="I38" si="275">H38*I$67</f>
        <v>0</v>
      </c>
      <c r="J38" s="181">
        <v>3.2486512752591336E-3</v>
      </c>
      <c r="K38" s="73">
        <f t="shared" ref="K38" si="276">J38*K$67</f>
        <v>849959.7491204309</v>
      </c>
      <c r="L38" s="181">
        <v>1.6107108197156446E-2</v>
      </c>
      <c r="M38" s="73">
        <f t="shared" ref="M38" si="277">L38*M$67</f>
        <v>10099506.881351981</v>
      </c>
      <c r="N38" s="181">
        <v>1.1692857485385576E-2</v>
      </c>
      <c r="O38" s="73">
        <f t="shared" ref="O38" si="278">N38*O$67</f>
        <v>123233.97163856491</v>
      </c>
      <c r="P38" s="181">
        <v>0</v>
      </c>
      <c r="Q38" s="73">
        <f t="shared" ref="Q38" si="279">P38*Q$67</f>
        <v>0</v>
      </c>
      <c r="R38" s="181">
        <v>6.4205040000000005E-2</v>
      </c>
      <c r="S38" s="73">
        <f t="shared" ref="S38" si="280">R38*S$67</f>
        <v>1926151.2000000002</v>
      </c>
      <c r="T38" s="181">
        <v>0</v>
      </c>
      <c r="U38" s="73">
        <f t="shared" ref="U38" si="281">T38*U$67</f>
        <v>0</v>
      </c>
      <c r="V38" s="181">
        <v>0</v>
      </c>
      <c r="W38" s="73">
        <f t="shared" ref="W38" si="282">V38*W$67</f>
        <v>0</v>
      </c>
      <c r="X38" s="181">
        <v>1.1535523047198452E-3</v>
      </c>
      <c r="Y38" s="73">
        <f t="shared" ref="Y38" si="283">X38*Y$67</f>
        <v>383073.37967982329</v>
      </c>
      <c r="Z38" s="38">
        <v>1750000</v>
      </c>
      <c r="AA38" s="73">
        <f t="shared" si="13"/>
        <v>2133073.3796798233</v>
      </c>
      <c r="AB38" s="74">
        <f t="shared" si="1"/>
        <v>20189160.344164267</v>
      </c>
    </row>
    <row r="39" spans="1:28" ht="14">
      <c r="A39" s="37" t="s">
        <v>60</v>
      </c>
      <c r="B39" s="181">
        <v>0</v>
      </c>
      <c r="C39" s="73">
        <f t="shared" si="2"/>
        <v>0</v>
      </c>
      <c r="D39" s="181">
        <v>0</v>
      </c>
      <c r="E39" s="73">
        <f t="shared" si="0"/>
        <v>0</v>
      </c>
      <c r="F39" s="101"/>
      <c r="G39" s="73">
        <f t="shared" ref="G39" si="284">F39*G$67</f>
        <v>0</v>
      </c>
      <c r="H39" s="181">
        <v>0</v>
      </c>
      <c r="I39" s="73">
        <f t="shared" ref="I39" si="285">H39*I$67</f>
        <v>0</v>
      </c>
      <c r="J39" s="181">
        <v>3.6626381375819872E-5</v>
      </c>
      <c r="K39" s="73">
        <f t="shared" ref="K39" si="286">J39*K$67</f>
        <v>9582.7305819082958</v>
      </c>
      <c r="L39" s="181">
        <v>4.6732749716112403E-4</v>
      </c>
      <c r="M39" s="73">
        <f t="shared" ref="M39" si="287">L39*M$67</f>
        <v>293024.49674094835</v>
      </c>
      <c r="N39" s="181">
        <v>1.3547706155717786E-3</v>
      </c>
      <c r="O39" s="73">
        <f t="shared" ref="O39" si="288">N39*O$67</f>
        <v>14278.268919706099</v>
      </c>
      <c r="P39" s="181">
        <v>0</v>
      </c>
      <c r="Q39" s="73">
        <f t="shared" ref="Q39" si="289">P39*Q$67</f>
        <v>0</v>
      </c>
      <c r="R39" s="181">
        <v>0</v>
      </c>
      <c r="S39" s="73">
        <f t="shared" ref="S39" si="290">R39*S$67</f>
        <v>0</v>
      </c>
      <c r="T39" s="181">
        <v>0</v>
      </c>
      <c r="U39" s="73">
        <f t="shared" ref="U39" si="291">T39*U$67</f>
        <v>0</v>
      </c>
      <c r="V39" s="181">
        <v>0</v>
      </c>
      <c r="W39" s="73">
        <f t="shared" ref="W39" si="292">V39*W$67</f>
        <v>0</v>
      </c>
      <c r="X39" s="181">
        <v>0</v>
      </c>
      <c r="Y39" s="73">
        <f t="shared" ref="Y39" si="293">X39*Y$67</f>
        <v>0</v>
      </c>
      <c r="Z39" s="38">
        <v>500000</v>
      </c>
      <c r="AA39" s="73">
        <f t="shared" si="13"/>
        <v>500000</v>
      </c>
      <c r="AB39" s="74">
        <f t="shared" si="1"/>
        <v>816885.49624256277</v>
      </c>
    </row>
    <row r="40" spans="1:28" ht="14">
      <c r="A40" s="37" t="s">
        <v>61</v>
      </c>
      <c r="B40" s="181">
        <v>4.0000007882070787E-3</v>
      </c>
      <c r="C40" s="73">
        <f t="shared" si="2"/>
        <v>430403.2962037145</v>
      </c>
      <c r="D40" s="181">
        <v>4.9997117070213551E-3</v>
      </c>
      <c r="E40" s="73">
        <f t="shared" si="0"/>
        <v>112381.20564386186</v>
      </c>
      <c r="F40" s="101">
        <v>2.3099785493597112E-3</v>
      </c>
      <c r="G40" s="73">
        <f t="shared" ref="G40" si="294">F40*G$67</f>
        <v>11343995.778560931</v>
      </c>
      <c r="H40" s="181">
        <v>0</v>
      </c>
      <c r="I40" s="73">
        <f t="shared" ref="I40" si="295">H40*I$67</f>
        <v>0</v>
      </c>
      <c r="J40" s="181">
        <v>4.7748333585096014E-3</v>
      </c>
      <c r="K40" s="73">
        <f t="shared" ref="K40" si="296">J40*K$67</f>
        <v>1249261.8688864841</v>
      </c>
      <c r="L40" s="181">
        <v>1.2341234079197157E-2</v>
      </c>
      <c r="M40" s="73">
        <f t="shared" ref="M40" si="297">L40*M$67</f>
        <v>7738221.9689336494</v>
      </c>
      <c r="N40" s="181">
        <v>1.2587684419092166E-2</v>
      </c>
      <c r="O40" s="73">
        <f t="shared" ref="O40" si="298">N40*O$67</f>
        <v>132664.77818928595</v>
      </c>
      <c r="P40" s="181">
        <v>0</v>
      </c>
      <c r="Q40" s="73">
        <f t="shared" ref="Q40" si="299">P40*Q$67</f>
        <v>0</v>
      </c>
      <c r="R40" s="181">
        <v>1.8680760000000001E-2</v>
      </c>
      <c r="S40" s="73">
        <f t="shared" ref="S40" si="300">R40*S$67</f>
        <v>560422.80000000005</v>
      </c>
      <c r="T40" s="181">
        <v>0</v>
      </c>
      <c r="U40" s="73">
        <f t="shared" ref="U40" si="301">T40*U$67</f>
        <v>0</v>
      </c>
      <c r="V40" s="181">
        <v>0</v>
      </c>
      <c r="W40" s="73">
        <f t="shared" ref="W40" si="302">V40*W$67</f>
        <v>0</v>
      </c>
      <c r="X40" s="181">
        <v>3.3709029813361584E-3</v>
      </c>
      <c r="Y40" s="73">
        <f t="shared" ref="Y40" si="303">X40*Y$67</f>
        <v>1119414.5183965834</v>
      </c>
      <c r="Z40" s="38">
        <v>1750000</v>
      </c>
      <c r="AA40" s="73">
        <f t="shared" si="13"/>
        <v>2869414.5183965834</v>
      </c>
      <c r="AB40" s="74">
        <f t="shared" si="1"/>
        <v>24436766.21481451</v>
      </c>
    </row>
    <row r="41" spans="1:28" ht="14">
      <c r="A41" s="37" t="s">
        <v>62</v>
      </c>
      <c r="B41" s="181">
        <v>1.0824898211735486E-2</v>
      </c>
      <c r="C41" s="73">
        <f t="shared" si="2"/>
        <v>1164767.7383306178</v>
      </c>
      <c r="D41" s="181">
        <v>1.0009506029949908E-2</v>
      </c>
      <c r="E41" s="73">
        <f t="shared" si="0"/>
        <v>224989.04366136712</v>
      </c>
      <c r="F41" s="101">
        <v>8.2825524977421169E-3</v>
      </c>
      <c r="G41" s="73">
        <f t="shared" ref="G41" si="304">F41*G$67</f>
        <v>40674507.820057161</v>
      </c>
      <c r="H41" s="181">
        <v>0</v>
      </c>
      <c r="I41" s="73">
        <f t="shared" ref="I41" si="305">H41*I$67</f>
        <v>0</v>
      </c>
      <c r="J41" s="181">
        <v>8.0205754970083427E-3</v>
      </c>
      <c r="K41" s="73">
        <f t="shared" ref="K41" si="306">J41*K$67</f>
        <v>2098460.4870200804</v>
      </c>
      <c r="L41" s="181">
        <v>1.0390934629218185E-2</v>
      </c>
      <c r="M41" s="73">
        <f t="shared" ref="M41" si="307">L41*M$67</f>
        <v>6515341.8296398111</v>
      </c>
      <c r="N41" s="181">
        <v>8.9135992684615528E-3</v>
      </c>
      <c r="O41" s="73">
        <f t="shared" ref="O41" si="308">N41*O$67</f>
        <v>93942.668917331961</v>
      </c>
      <c r="P41" s="181">
        <v>0</v>
      </c>
      <c r="Q41" s="73">
        <f t="shared" ref="Q41" si="309">P41*Q$67</f>
        <v>0</v>
      </c>
      <c r="R41" s="181">
        <v>3.3834799999999999E-3</v>
      </c>
      <c r="S41" s="73">
        <f t="shared" ref="S41" si="310">R41*S$67</f>
        <v>101504.4</v>
      </c>
      <c r="T41" s="181">
        <v>9.8586354362418692E-4</v>
      </c>
      <c r="U41" s="73">
        <f t="shared" ref="U41" si="311">T41*U$67</f>
        <v>2376404.8475670018</v>
      </c>
      <c r="V41" s="181">
        <v>0</v>
      </c>
      <c r="W41" s="73">
        <f t="shared" ref="W41" si="312">V41*W$67</f>
        <v>0</v>
      </c>
      <c r="X41" s="181">
        <v>1.0746402356736762E-2</v>
      </c>
      <c r="Y41" s="73">
        <f t="shared" ref="Y41" si="313">X41*Y$67</f>
        <v>3568681.4142286791</v>
      </c>
      <c r="Z41" s="38">
        <v>1750000</v>
      </c>
      <c r="AA41" s="73">
        <f t="shared" si="13"/>
        <v>5318681.4142286796</v>
      </c>
      <c r="AB41" s="74">
        <f t="shared" si="1"/>
        <v>58568600.249422051</v>
      </c>
    </row>
    <row r="42" spans="1:28" ht="14">
      <c r="A42" s="37" t="s">
        <v>63</v>
      </c>
      <c r="B42" s="181">
        <v>4.0000007882070787E-3</v>
      </c>
      <c r="C42" s="73">
        <f t="shared" si="2"/>
        <v>430403.2962037145</v>
      </c>
      <c r="D42" s="181">
        <v>4.9997117070213551E-3</v>
      </c>
      <c r="E42" s="73">
        <f t="shared" ref="E42:E66" si="314">D42*E$67</f>
        <v>112381.20564386186</v>
      </c>
      <c r="F42" s="101">
        <v>1.6659620514199391E-3</v>
      </c>
      <c r="G42" s="73">
        <f t="shared" ref="G42" si="315">F42*G$67</f>
        <v>8181316.871444067</v>
      </c>
      <c r="H42" s="181">
        <v>0</v>
      </c>
      <c r="I42" s="73">
        <f t="shared" ref="I42" si="316">H42*I$67</f>
        <v>0</v>
      </c>
      <c r="J42" s="181">
        <v>4.2874772126035828E-3</v>
      </c>
      <c r="K42" s="73">
        <f t="shared" ref="K42" si="317">J42*K$67</f>
        <v>1121752.6127649457</v>
      </c>
      <c r="L42" s="181">
        <v>6.3390844658535936E-3</v>
      </c>
      <c r="M42" s="73">
        <f t="shared" ref="M42" si="318">L42*M$67</f>
        <v>3974743.721884368</v>
      </c>
      <c r="N42" s="181">
        <v>1.1432643546567131E-2</v>
      </c>
      <c r="O42" s="73">
        <f t="shared" ref="O42" si="319">N42*O$67</f>
        <v>120491.51136344473</v>
      </c>
      <c r="P42" s="181">
        <v>0</v>
      </c>
      <c r="Q42" s="73">
        <f t="shared" ref="Q42" si="320">P42*Q$67</f>
        <v>0</v>
      </c>
      <c r="R42" s="181">
        <v>0</v>
      </c>
      <c r="S42" s="73">
        <f t="shared" ref="S42" si="321">R42*S$67</f>
        <v>0</v>
      </c>
      <c r="T42" s="181">
        <v>0</v>
      </c>
      <c r="U42" s="73">
        <f t="shared" ref="U42" si="322">T42*U$67</f>
        <v>0</v>
      </c>
      <c r="V42" s="181">
        <v>0</v>
      </c>
      <c r="W42" s="73">
        <f t="shared" ref="W42" si="323">V42*W$67</f>
        <v>0</v>
      </c>
      <c r="X42" s="181">
        <v>1.9802717383737476E-3</v>
      </c>
      <c r="Y42" s="73">
        <f t="shared" ref="Y42" si="324">X42*Y$67</f>
        <v>657611.60928676161</v>
      </c>
      <c r="Z42" s="38">
        <v>1750000</v>
      </c>
      <c r="AA42" s="73">
        <f t="shared" si="13"/>
        <v>2407611.6092867618</v>
      </c>
      <c r="AB42" s="74">
        <f t="shared" ref="AB42:AB68" si="325">SUM(C42+E42+G42+I42+K42+M42+O42+Q42+S42+U42+W42+AA42)</f>
        <v>16348700.828591164</v>
      </c>
    </row>
    <row r="43" spans="1:28" ht="14">
      <c r="A43" s="37" t="s">
        <v>64</v>
      </c>
      <c r="B43" s="181">
        <v>3.87170788775432E-2</v>
      </c>
      <c r="C43" s="73">
        <f t="shared" si="2"/>
        <v>4165988.7711529913</v>
      </c>
      <c r="D43" s="181">
        <v>3.4746745857539799E-2</v>
      </c>
      <c r="E43" s="73">
        <f t="shared" si="314"/>
        <v>781021.27092395304</v>
      </c>
      <c r="F43" s="101">
        <v>8.0607717214806168E-2</v>
      </c>
      <c r="G43" s="73">
        <f t="shared" ref="G43" si="326">F43*G$67</f>
        <v>395853720.83115453</v>
      </c>
      <c r="H43" s="181">
        <v>4.0435154138584548E-2</v>
      </c>
      <c r="I43" s="73">
        <f t="shared" ref="I43" si="327">H43*I$67</f>
        <v>917656.75799999991</v>
      </c>
      <c r="J43" s="181">
        <v>2.7761775583581769E-2</v>
      </c>
      <c r="K43" s="73">
        <f t="shared" ref="K43" si="328">J43*K$67</f>
        <v>7263442.5214742888</v>
      </c>
      <c r="L43" s="181">
        <v>6.1351651496623439E-3</v>
      </c>
      <c r="M43" s="73">
        <f t="shared" ref="M43" si="329">L43*M$67</f>
        <v>3846881.8790318007</v>
      </c>
      <c r="N43" s="181">
        <v>1.1345968375056279E-2</v>
      </c>
      <c r="O43" s="73">
        <f t="shared" ref="O43" si="330">N43*O$67</f>
        <v>119578.01988874863</v>
      </c>
      <c r="P43" s="181">
        <v>0</v>
      </c>
      <c r="Q43" s="73">
        <f t="shared" ref="Q43" si="331">P43*Q$67</f>
        <v>0</v>
      </c>
      <c r="R43" s="181">
        <v>0</v>
      </c>
      <c r="S43" s="73">
        <f t="shared" ref="S43" si="332">R43*S$67</f>
        <v>0</v>
      </c>
      <c r="T43" s="181">
        <v>7.0630846897513783E-2</v>
      </c>
      <c r="U43" s="73">
        <f t="shared" ref="U43" si="333">T43*U$67</f>
        <v>170254279.14494246</v>
      </c>
      <c r="V43" s="181">
        <v>0</v>
      </c>
      <c r="W43" s="73">
        <f t="shared" ref="W43" si="334">V43*W$67</f>
        <v>0</v>
      </c>
      <c r="X43" s="181">
        <v>4.5934029447025619E-2</v>
      </c>
      <c r="Y43" s="73">
        <f t="shared" ref="Y43" si="335">X43*Y$67</f>
        <v>15253841.399812438</v>
      </c>
      <c r="Z43" s="38">
        <v>1750000</v>
      </c>
      <c r="AA43" s="73">
        <f t="shared" si="13"/>
        <v>17003841.399812438</v>
      </c>
      <c r="AB43" s="74">
        <f t="shared" si="325"/>
        <v>600206410.59638119</v>
      </c>
    </row>
    <row r="44" spans="1:28" ht="14">
      <c r="A44" s="37" t="s">
        <v>65</v>
      </c>
      <c r="B44" s="181">
        <v>4.0000007882070787E-3</v>
      </c>
      <c r="C44" s="73">
        <f t="shared" si="2"/>
        <v>430403.2962037145</v>
      </c>
      <c r="D44" s="181">
        <v>4.9997117070213551E-3</v>
      </c>
      <c r="E44" s="73">
        <f t="shared" si="314"/>
        <v>112381.20564386186</v>
      </c>
      <c r="F44" s="101">
        <v>4.9316405623467518E-3</v>
      </c>
      <c r="G44" s="73">
        <f t="shared" ref="G44" si="336">F44*G$67</f>
        <v>24218627.370435245</v>
      </c>
      <c r="H44" s="181">
        <v>0</v>
      </c>
      <c r="I44" s="73">
        <f t="shared" ref="I44" si="337">H44*I$67</f>
        <v>0</v>
      </c>
      <c r="J44" s="181">
        <v>6.6862216586964091E-3</v>
      </c>
      <c r="K44" s="73">
        <f t="shared" ref="K44" si="338">J44*K$67</f>
        <v>1749347.2835541195</v>
      </c>
      <c r="L44" s="181">
        <v>1.6648017346324252E-2</v>
      </c>
      <c r="M44" s="73">
        <f t="shared" ref="M44" si="339">L44*M$67</f>
        <v>10438668.67298699</v>
      </c>
      <c r="N44" s="181">
        <v>1.3417128125593831E-2</v>
      </c>
      <c r="O44" s="73">
        <f t="shared" ref="O44" si="340">N44*O$67</f>
        <v>141406.49443192102</v>
      </c>
      <c r="P44" s="181">
        <v>0</v>
      </c>
      <c r="Q44" s="73">
        <f t="shared" ref="Q44" si="341">P44*Q$67</f>
        <v>0</v>
      </c>
      <c r="R44" s="181">
        <v>2.4074000000000002E-2</v>
      </c>
      <c r="S44" s="73">
        <f t="shared" ref="S44" si="342">R44*S$67</f>
        <v>722220</v>
      </c>
      <c r="T44" s="181">
        <v>1.8145953140976613E-3</v>
      </c>
      <c r="U44" s="73">
        <f t="shared" ref="U44" si="343">T44*U$67</f>
        <v>4374046.620023788</v>
      </c>
      <c r="V44" s="181">
        <v>0</v>
      </c>
      <c r="W44" s="73">
        <f t="shared" ref="W44" si="344">V44*W$67</f>
        <v>0</v>
      </c>
      <c r="X44" s="181">
        <v>4.6435670553755552E-3</v>
      </c>
      <c r="Y44" s="73">
        <f t="shared" ref="Y44" si="345">X44*Y$67</f>
        <v>1542042.7130996974</v>
      </c>
      <c r="Z44" s="38">
        <v>1750000</v>
      </c>
      <c r="AA44" s="73">
        <f t="shared" si="13"/>
        <v>3292042.7130996976</v>
      </c>
      <c r="AB44" s="74">
        <f t="shared" si="325"/>
        <v>45479143.656379335</v>
      </c>
    </row>
    <row r="45" spans="1:28" ht="14">
      <c r="A45" s="37" t="s">
        <v>66</v>
      </c>
      <c r="B45" s="181">
        <v>7.3115768224293026E-2</v>
      </c>
      <c r="C45" s="73">
        <f t="shared" si="2"/>
        <v>7867315.3617822174</v>
      </c>
      <c r="D45" s="181">
        <v>6.8629442085214168E-2</v>
      </c>
      <c r="E45" s="73">
        <f t="shared" si="314"/>
        <v>1542620.8341914341</v>
      </c>
      <c r="F45" s="101">
        <v>0.13387074071852587</v>
      </c>
      <c r="G45" s="73">
        <f t="shared" ref="G45" si="346">F45*G$67</f>
        <v>657421307.22587097</v>
      </c>
      <c r="H45" s="181">
        <v>0.10522978928599463</v>
      </c>
      <c r="I45" s="73">
        <f t="shared" ref="I45" si="347">H45*I$67</f>
        <v>2388140.452</v>
      </c>
      <c r="J45" s="181">
        <v>6.0978062188037807E-2</v>
      </c>
      <c r="K45" s="73">
        <f t="shared" ref="K45" si="348">J45*K$67</f>
        <v>15953974.141179692</v>
      </c>
      <c r="L45" s="181">
        <v>3.3164713848356689E-2</v>
      </c>
      <c r="M45" s="73">
        <f t="shared" ref="M45" si="349">L45*M$67</f>
        <v>20794996.322721634</v>
      </c>
      <c r="N45" s="181">
        <v>3.185218340880825E-2</v>
      </c>
      <c r="O45" s="73">
        <f t="shared" ref="O45" si="350">N45*O$67</f>
        <v>335698.18769564916</v>
      </c>
      <c r="P45" s="181">
        <v>0.01</v>
      </c>
      <c r="Q45" s="73">
        <f t="shared" ref="Q45" si="351">P45*Q$67</f>
        <v>200000</v>
      </c>
      <c r="R45" s="181">
        <v>2.2762400000000001E-3</v>
      </c>
      <c r="S45" s="73">
        <f t="shared" ref="S45" si="352">R45*S$67</f>
        <v>68287.199999999997</v>
      </c>
      <c r="T45" s="181">
        <v>0.2894780332818534</v>
      </c>
      <c r="U45" s="73">
        <f t="shared" ref="U45" si="353">T45*U$67</f>
        <v>697781154.40425861</v>
      </c>
      <c r="V45" s="181">
        <v>0.11208081801001353</v>
      </c>
      <c r="W45" s="73">
        <f t="shared" ref="W45" si="354">V45*W$67</f>
        <v>8008118.4064064622</v>
      </c>
      <c r="X45" s="181">
        <v>9.0795984923444178E-2</v>
      </c>
      <c r="Y45" s="73">
        <f t="shared" ref="Y45" si="355">X45*Y$67</f>
        <v>30151666.867354728</v>
      </c>
      <c r="Z45" s="38">
        <v>1750000</v>
      </c>
      <c r="AA45" s="73">
        <f t="shared" si="13"/>
        <v>31901666.867354728</v>
      </c>
      <c r="AB45" s="74">
        <f t="shared" si="325"/>
        <v>1444263279.4034612</v>
      </c>
    </row>
    <row r="46" spans="1:28" ht="14">
      <c r="A46" s="37" t="s">
        <v>67</v>
      </c>
      <c r="B46" s="181">
        <v>1.9700860587946744E-2</v>
      </c>
      <c r="C46" s="73">
        <f t="shared" si="2"/>
        <v>2119828.4160595909</v>
      </c>
      <c r="D46" s="181">
        <v>2.2419809485698858E-2</v>
      </c>
      <c r="E46" s="73">
        <f t="shared" si="314"/>
        <v>503942.10065555817</v>
      </c>
      <c r="F46" s="101">
        <v>1.3836763691894901E-2</v>
      </c>
      <c r="G46" s="73">
        <f t="shared" ref="G46" si="356">F46*G$67</f>
        <v>67950496.316647127</v>
      </c>
      <c r="H46" s="181">
        <v>1.5244345261458065E-2</v>
      </c>
      <c r="I46" s="73">
        <f t="shared" ref="I46" si="357">H46*I$67</f>
        <v>345963.228</v>
      </c>
      <c r="J46" s="181">
        <v>2.8043783184064711E-2</v>
      </c>
      <c r="K46" s="73">
        <f t="shared" ref="K46" si="358">J46*K$67</f>
        <v>7337225.4821700053</v>
      </c>
      <c r="L46" s="181">
        <v>4.2778040334659893E-2</v>
      </c>
      <c r="M46" s="73">
        <f t="shared" ref="M46" si="359">L46*M$67</f>
        <v>26822760.947674159</v>
      </c>
      <c r="N46" s="181">
        <v>3.9071094649946778E-2</v>
      </c>
      <c r="O46" s="73">
        <f t="shared" ref="O46" si="360">N46*O$67</f>
        <v>411780.11243164085</v>
      </c>
      <c r="P46" s="181">
        <v>7.2499999999999995E-2</v>
      </c>
      <c r="Q46" s="73">
        <f t="shared" ref="Q46" si="361">P46*Q$67</f>
        <v>1450000</v>
      </c>
      <c r="R46" s="181">
        <v>2.251676E-2</v>
      </c>
      <c r="S46" s="73">
        <f t="shared" ref="S46" si="362">R46*S$67</f>
        <v>675502.8</v>
      </c>
      <c r="T46" s="181">
        <v>2.7376326272431062E-4</v>
      </c>
      <c r="U46" s="73">
        <f t="shared" ref="U46" si="363">T46*U$67</f>
        <v>659901.00641332765</v>
      </c>
      <c r="V46" s="181">
        <v>5.9437333675046427E-3</v>
      </c>
      <c r="W46" s="73">
        <f t="shared" ref="W46" si="364">V46*W$67</f>
        <v>424676.77724152297</v>
      </c>
      <c r="X46" s="181">
        <v>1.9061456754146635E-2</v>
      </c>
      <c r="Y46" s="73">
        <f t="shared" ref="Y46" si="365">X46*Y$67</f>
        <v>6329957.1511021461</v>
      </c>
      <c r="Z46" s="38">
        <v>1750000</v>
      </c>
      <c r="AA46" s="73">
        <f t="shared" si="13"/>
        <v>8079957.1511021461</v>
      </c>
      <c r="AB46" s="74">
        <f t="shared" si="325"/>
        <v>116782034.33839507</v>
      </c>
    </row>
    <row r="47" spans="1:28" ht="14">
      <c r="A47" s="37" t="s">
        <v>68</v>
      </c>
      <c r="B47" s="181">
        <v>4.0000007882070787E-3</v>
      </c>
      <c r="C47" s="73">
        <f t="shared" si="2"/>
        <v>430403.2962037145</v>
      </c>
      <c r="D47" s="181">
        <v>4.9997117070213551E-3</v>
      </c>
      <c r="E47" s="73">
        <f t="shared" si="314"/>
        <v>112381.20564386186</v>
      </c>
      <c r="F47" s="101">
        <v>1.0260347988624231E-3</v>
      </c>
      <c r="G47" s="73">
        <f t="shared" ref="G47" si="366">F47*G$67</f>
        <v>5038719.7016085619</v>
      </c>
      <c r="H47" s="181">
        <v>0</v>
      </c>
      <c r="I47" s="73">
        <f t="shared" ref="I47" si="367">H47*I$67</f>
        <v>0</v>
      </c>
      <c r="J47" s="181">
        <v>2.2427657769866168E-3</v>
      </c>
      <c r="K47" s="73">
        <f t="shared" ref="K47" si="368">J47*K$67</f>
        <v>586785.24582216889</v>
      </c>
      <c r="L47" s="181">
        <v>8.2667303465522625E-3</v>
      </c>
      <c r="M47" s="73">
        <f t="shared" ref="M47" si="369">L47*M$67</f>
        <v>5183419.5809291927</v>
      </c>
      <c r="N47" s="181">
        <v>9.2137591558893468E-3</v>
      </c>
      <c r="O47" s="73">
        <f t="shared" ref="O47" si="370">N47*O$67</f>
        <v>97106.129611225115</v>
      </c>
      <c r="P47" s="181">
        <v>0</v>
      </c>
      <c r="Q47" s="73">
        <f t="shared" ref="Q47" si="371">P47*Q$67</f>
        <v>0</v>
      </c>
      <c r="R47" s="181">
        <v>2.9132999999999999E-2</v>
      </c>
      <c r="S47" s="73">
        <f t="shared" ref="S47" si="372">R47*S$67</f>
        <v>873990</v>
      </c>
      <c r="T47" s="181">
        <v>0</v>
      </c>
      <c r="U47" s="73">
        <f t="shared" ref="U47" si="373">T47*U$67</f>
        <v>0</v>
      </c>
      <c r="V47" s="181">
        <v>0</v>
      </c>
      <c r="W47" s="73">
        <f t="shared" ref="W47" si="374">V47*W$67</f>
        <v>0</v>
      </c>
      <c r="X47" s="181">
        <v>1.2878967706320727E-3</v>
      </c>
      <c r="Y47" s="73">
        <f t="shared" ref="Y47" si="375">X47*Y$67</f>
        <v>427686.69143665466</v>
      </c>
      <c r="Z47" s="38">
        <v>1750000</v>
      </c>
      <c r="AA47" s="73">
        <f t="shared" si="13"/>
        <v>2177686.6914366549</v>
      </c>
      <c r="AB47" s="74">
        <f t="shared" si="325"/>
        <v>14500491.85125538</v>
      </c>
    </row>
    <row r="48" spans="1:28" ht="14">
      <c r="A48" s="37" t="s">
        <v>124</v>
      </c>
      <c r="B48" s="181">
        <v>3.2451967997779205E-2</v>
      </c>
      <c r="C48" s="73">
        <f t="shared" si="2"/>
        <v>3491857.8105586455</v>
      </c>
      <c r="D48" s="181">
        <v>3.2282222807392222E-2</v>
      </c>
      <c r="E48" s="73">
        <f t="shared" si="314"/>
        <v>725624.86250230053</v>
      </c>
      <c r="F48" s="101">
        <v>2.112258165565712E-2</v>
      </c>
      <c r="G48" s="73">
        <f t="shared" ref="G48" si="376">F48*G$67</f>
        <v>103730174.11806712</v>
      </c>
      <c r="H48" s="181">
        <v>2.4723313110470657E-2</v>
      </c>
      <c r="I48" s="73">
        <f t="shared" ref="I48" si="377">H48*I$67</f>
        <v>561083.93400000001</v>
      </c>
      <c r="J48" s="181">
        <v>3.8481342521327157E-2</v>
      </c>
      <c r="K48" s="73">
        <f t="shared" ref="K48" si="378">J48*K$67</f>
        <v>10068052.697541576</v>
      </c>
      <c r="L48" s="181">
        <v>3.6832709799323467E-2</v>
      </c>
      <c r="M48" s="73">
        <f t="shared" ref="M48" si="379">L48*M$67</f>
        <v>23094909.497334819</v>
      </c>
      <c r="N48" s="181">
        <v>3.6767230906331182E-2</v>
      </c>
      <c r="O48" s="73">
        <f t="shared" ref="O48" si="380">N48*O$67</f>
        <v>387499.11186401272</v>
      </c>
      <c r="P48" s="181">
        <v>4.82E-2</v>
      </c>
      <c r="Q48" s="73">
        <f t="shared" ref="Q48" si="381">P48*Q$67</f>
        <v>964000</v>
      </c>
      <c r="R48" s="181">
        <v>0</v>
      </c>
      <c r="S48" s="73">
        <f t="shared" ref="S48" si="382">R48*S$67</f>
        <v>0</v>
      </c>
      <c r="T48" s="181">
        <v>1.0717561910671814E-2</v>
      </c>
      <c r="U48" s="73">
        <f t="shared" ref="U48" si="383">T48*U$67</f>
        <v>25834473.993217152</v>
      </c>
      <c r="V48" s="181">
        <v>4.0460422987932693E-3</v>
      </c>
      <c r="W48" s="73">
        <f t="shared" ref="W48" si="384">V48*W$67</f>
        <v>289087.6992276297</v>
      </c>
      <c r="X48" s="181">
        <v>2.7195023636875332E-2</v>
      </c>
      <c r="Y48" s="73">
        <f t="shared" ref="Y48" si="385">X48*Y$67</f>
        <v>9030964.2418690156</v>
      </c>
      <c r="Z48" s="38">
        <v>1750000</v>
      </c>
      <c r="AA48" s="73">
        <f t="shared" si="13"/>
        <v>10780964.241869016</v>
      </c>
      <c r="AB48" s="74">
        <f t="shared" si="325"/>
        <v>179927727.96618223</v>
      </c>
    </row>
    <row r="49" spans="1:28" ht="14">
      <c r="A49" s="37" t="s">
        <v>69</v>
      </c>
      <c r="B49" s="181">
        <v>5.8878505751551744E-3</v>
      </c>
      <c r="C49" s="73">
        <f t="shared" si="2"/>
        <v>633537.44893575541</v>
      </c>
      <c r="D49" s="181">
        <v>7.3589128862422094E-3</v>
      </c>
      <c r="E49" s="73">
        <f t="shared" si="314"/>
        <v>165410.23779884083</v>
      </c>
      <c r="F49" s="101">
        <v>3.6652011386703078E-3</v>
      </c>
      <c r="G49" s="73">
        <f t="shared" ref="G49" si="386">F49*G$67</f>
        <v>17999312.701919872</v>
      </c>
      <c r="H49" s="181">
        <v>0</v>
      </c>
      <c r="I49" s="73">
        <f t="shared" ref="I49" si="387">H49*I$67</f>
        <v>0</v>
      </c>
      <c r="J49" s="181">
        <v>1.1242656138652208E-2</v>
      </c>
      <c r="K49" s="73">
        <f t="shared" ref="K49" si="388">J49*K$67</f>
        <v>2941468.4376345901</v>
      </c>
      <c r="L49" s="181">
        <v>2.3808681391731416E-2</v>
      </c>
      <c r="M49" s="73">
        <f t="shared" ref="M49" si="389">L49*M$67</f>
        <v>14928560.645923922</v>
      </c>
      <c r="N49" s="181">
        <v>2.16972449448826E-2</v>
      </c>
      <c r="O49" s="73">
        <f t="shared" ref="O49" si="390">N49*O$67</f>
        <v>228672.73217984382</v>
      </c>
      <c r="P49" s="181">
        <v>0</v>
      </c>
      <c r="Q49" s="73">
        <f t="shared" ref="Q49" si="391">P49*Q$67</f>
        <v>0</v>
      </c>
      <c r="R49" s="181">
        <v>0.31196952</v>
      </c>
      <c r="S49" s="73">
        <f t="shared" ref="S49" si="392">R49*S$67</f>
        <v>9359085.5999999996</v>
      </c>
      <c r="T49" s="181">
        <v>0</v>
      </c>
      <c r="U49" s="73">
        <f t="shared" ref="U49" si="393">T49*U$67</f>
        <v>0</v>
      </c>
      <c r="V49" s="181">
        <v>0</v>
      </c>
      <c r="W49" s="73">
        <f t="shared" ref="W49" si="394">V49*W$67</f>
        <v>0</v>
      </c>
      <c r="X49" s="181">
        <v>5.0724698866904038E-3</v>
      </c>
      <c r="Y49" s="73">
        <f t="shared" ref="Y49" si="395">X49*Y$67</f>
        <v>1684473.4086769794</v>
      </c>
      <c r="Z49" s="38">
        <v>1750000</v>
      </c>
      <c r="AA49" s="73">
        <f t="shared" si="13"/>
        <v>3434473.4086769791</v>
      </c>
      <c r="AB49" s="74">
        <f t="shared" si="325"/>
        <v>49690521.213069811</v>
      </c>
    </row>
    <row r="50" spans="1:28" ht="14">
      <c r="A50" s="37" t="s">
        <v>70</v>
      </c>
      <c r="B50" s="181">
        <v>1.0430034615709027E-2</v>
      </c>
      <c r="C50" s="73">
        <f t="shared" si="2"/>
        <v>1122280.0983827226</v>
      </c>
      <c r="D50" s="181">
        <v>1.0254456854500563E-2</v>
      </c>
      <c r="E50" s="73">
        <f t="shared" si="314"/>
        <v>230494.9349206175</v>
      </c>
      <c r="F50" s="101">
        <v>1.076553456315554E-2</v>
      </c>
      <c r="G50" s="73">
        <f t="shared" ref="G50" si="396">F50*G$67</f>
        <v>52868100.732900351</v>
      </c>
      <c r="H50" s="181">
        <v>3.2379666490978211E-2</v>
      </c>
      <c r="I50" s="73">
        <f t="shared" ref="I50" si="397">H50*I$67</f>
        <v>734841.26399999997</v>
      </c>
      <c r="J50" s="181">
        <v>1.279385912845867E-2</v>
      </c>
      <c r="K50" s="73">
        <f t="shared" ref="K50" si="398">J50*K$67</f>
        <v>3347316.8936051666</v>
      </c>
      <c r="L50" s="181">
        <v>1.9314675082438278E-2</v>
      </c>
      <c r="M50" s="73">
        <f t="shared" ref="M50" si="399">L50*M$67</f>
        <v>12110721.025677381</v>
      </c>
      <c r="N50" s="181">
        <v>1.713266661912094E-2</v>
      </c>
      <c r="O50" s="73">
        <f t="shared" ref="O50" si="400">N50*O$67</f>
        <v>180565.49093090362</v>
      </c>
      <c r="P50" s="181">
        <v>0</v>
      </c>
      <c r="Q50" s="73">
        <f t="shared" ref="Q50" si="401">P50*Q$67</f>
        <v>0</v>
      </c>
      <c r="R50" s="181">
        <v>3.0270160000000001E-2</v>
      </c>
      <c r="S50" s="73">
        <f t="shared" ref="S50" si="402">R50*S$67</f>
        <v>908104.8</v>
      </c>
      <c r="T50" s="181">
        <v>8.4984352992122439E-3</v>
      </c>
      <c r="U50" s="73">
        <f t="shared" ref="U50" si="403">T50*U$67</f>
        <v>20485312.56926278</v>
      </c>
      <c r="V50" s="181">
        <v>1.5550890752874839E-3</v>
      </c>
      <c r="W50" s="73">
        <f t="shared" ref="W50" si="404">V50*W$67</f>
        <v>111110.33688475308</v>
      </c>
      <c r="X50" s="181">
        <v>1.296888142561676E-2</v>
      </c>
      <c r="Y50" s="73">
        <f t="shared" ref="Y50" si="405">X50*Y$67</f>
        <v>4306725.597140952</v>
      </c>
      <c r="Z50" s="38">
        <v>1750000</v>
      </c>
      <c r="AA50" s="73">
        <f t="shared" si="13"/>
        <v>6056725.597140952</v>
      </c>
      <c r="AB50" s="74">
        <f t="shared" si="325"/>
        <v>98155573.74370563</v>
      </c>
    </row>
    <row r="51" spans="1:28" ht="14">
      <c r="A51" s="37" t="s">
        <v>71</v>
      </c>
      <c r="B51" s="181">
        <v>3.8979420466804568E-2</v>
      </c>
      <c r="C51" s="73">
        <f t="shared" si="2"/>
        <v>4194216.9367779344</v>
      </c>
      <c r="D51" s="181">
        <v>3.8464088493766736E-2</v>
      </c>
      <c r="E51" s="73">
        <f t="shared" si="314"/>
        <v>864577.97813645762</v>
      </c>
      <c r="F51" s="101">
        <v>3.6895475444281539E-2</v>
      </c>
      <c r="G51" s="73">
        <f t="shared" ref="G51" si="406">F51*G$67</f>
        <v>181188746.45132154</v>
      </c>
      <c r="H51" s="181">
        <v>6.4499882251354113E-2</v>
      </c>
      <c r="I51" s="73">
        <f t="shared" ref="I51" si="407">H51*I$67</f>
        <v>1463794.416</v>
      </c>
      <c r="J51" s="181">
        <v>4.6055740334290184E-2</v>
      </c>
      <c r="K51" s="73">
        <f t="shared" ref="K51" si="408">J51*K$67</f>
        <v>12049777.641020115</v>
      </c>
      <c r="L51" s="181">
        <v>3.4772701679614118E-2</v>
      </c>
      <c r="M51" s="73">
        <f t="shared" ref="M51" si="409">L51*M$67</f>
        <v>21803239.637917198</v>
      </c>
      <c r="N51" s="181">
        <v>3.4646232932174885E-2</v>
      </c>
      <c r="O51" s="73">
        <f t="shared" ref="O51" si="410">N51*O$67</f>
        <v>365145.37972289004</v>
      </c>
      <c r="P51" s="181">
        <v>0.2394</v>
      </c>
      <c r="Q51" s="73">
        <f t="shared" ref="Q51" si="411">P51*Q$67</f>
        <v>4788000</v>
      </c>
      <c r="R51" s="181">
        <v>0</v>
      </c>
      <c r="S51" s="73">
        <f t="shared" ref="S51" si="412">R51*S$67</f>
        <v>0</v>
      </c>
      <c r="T51" s="181">
        <v>7.1353615507044804E-2</v>
      </c>
      <c r="U51" s="73">
        <f t="shared" ref="U51" si="413">T51*U$67</f>
        <v>171996498.7842291</v>
      </c>
      <c r="V51" s="181">
        <v>4.1585074273887308E-3</v>
      </c>
      <c r="W51" s="73">
        <f t="shared" ref="W51" si="414">V51*W$67</f>
        <v>297123.27643321111</v>
      </c>
      <c r="X51" s="181">
        <v>3.7109496836069823E-2</v>
      </c>
      <c r="Y51" s="73">
        <f t="shared" ref="Y51" si="415">X51*Y$67</f>
        <v>12323377.37356732</v>
      </c>
      <c r="Z51" s="38">
        <v>1750000</v>
      </c>
      <c r="AA51" s="73">
        <f t="shared" si="13"/>
        <v>14073377.37356732</v>
      </c>
      <c r="AB51" s="74">
        <f t="shared" si="325"/>
        <v>413084497.87512583</v>
      </c>
    </row>
    <row r="52" spans="1:28" ht="14">
      <c r="A52" s="37" t="s">
        <v>72</v>
      </c>
      <c r="B52" s="181">
        <v>1.4794637478182498E-2</v>
      </c>
      <c r="C52" s="73">
        <f t="shared" si="2"/>
        <v>1591914.8704975469</v>
      </c>
      <c r="D52" s="181">
        <v>1.4481429894764116E-2</v>
      </c>
      <c r="E52" s="73">
        <f t="shared" si="314"/>
        <v>325506.87847364391</v>
      </c>
      <c r="F52" s="101">
        <v>9.6656191005985714E-3</v>
      </c>
      <c r="G52" s="73">
        <f t="shared" ref="G52" si="416">F52*G$67</f>
        <v>47466562.970794857</v>
      </c>
      <c r="H52" s="181">
        <v>1.3559036928218183E-2</v>
      </c>
      <c r="I52" s="73">
        <f t="shared" ref="I52" si="417">H52*I$67</f>
        <v>307715.95</v>
      </c>
      <c r="J52" s="181">
        <v>1.9780960878317249E-2</v>
      </c>
      <c r="K52" s="73">
        <f t="shared" ref="K52" si="418">J52*K$67</f>
        <v>5175384.8354051085</v>
      </c>
      <c r="L52" s="181">
        <v>3.1230813131054675E-3</v>
      </c>
      <c r="M52" s="73">
        <f t="shared" ref="M52" si="419">L52*M$67</f>
        <v>1958239.8545195602</v>
      </c>
      <c r="N52" s="181">
        <v>8.7718099933269539E-3</v>
      </c>
      <c r="O52" s="73">
        <f t="shared" ref="O52" si="420">N52*O$67</f>
        <v>92448.31601579109</v>
      </c>
      <c r="P52" s="181">
        <v>0</v>
      </c>
      <c r="Q52" s="73">
        <f t="shared" ref="Q52" si="421">P52*Q$67</f>
        <v>0</v>
      </c>
      <c r="R52" s="181">
        <v>0</v>
      </c>
      <c r="S52" s="73">
        <f t="shared" ref="S52" si="422">R52*S$67</f>
        <v>0</v>
      </c>
      <c r="T52" s="181">
        <v>3.0577604209948506E-3</v>
      </c>
      <c r="U52" s="73">
        <f t="shared" ref="U52" si="423">T52*U$67</f>
        <v>7370671.8684798777</v>
      </c>
      <c r="V52" s="181">
        <v>0</v>
      </c>
      <c r="W52" s="73">
        <f t="shared" ref="W52" si="424">V52*W$67</f>
        <v>0</v>
      </c>
      <c r="X52" s="181">
        <v>1.2562863940127837E-2</v>
      </c>
      <c r="Y52" s="73">
        <f t="shared" ref="Y52" si="425">X52*Y$67</f>
        <v>4171894.7015335625</v>
      </c>
      <c r="Z52" s="38">
        <v>500000</v>
      </c>
      <c r="AA52" s="73">
        <f t="shared" si="13"/>
        <v>4671894.7015335625</v>
      </c>
      <c r="AB52" s="74">
        <f t="shared" si="325"/>
        <v>68960340.245719954</v>
      </c>
    </row>
    <row r="53" spans="1:28" ht="14">
      <c r="A53" s="37" t="s">
        <v>125</v>
      </c>
      <c r="B53" s="181">
        <v>4.7936502488168005E-3</v>
      </c>
      <c r="C53" s="73">
        <f t="shared" si="2"/>
        <v>515800.61534520274</v>
      </c>
      <c r="D53" s="181">
        <v>4.9997117070213551E-3</v>
      </c>
      <c r="E53" s="73">
        <f t="shared" si="314"/>
        <v>112381.20564386186</v>
      </c>
      <c r="F53" s="101">
        <v>5.7015165298656021E-3</v>
      </c>
      <c r="G53" s="73">
        <f t="shared" ref="G53" si="426">F53*G$67</f>
        <v>27999385.30343429</v>
      </c>
      <c r="H53" s="181">
        <v>0</v>
      </c>
      <c r="I53" s="73">
        <f t="shared" ref="I53" si="427">H53*I$67</f>
        <v>0</v>
      </c>
      <c r="J53" s="181">
        <v>3.7471662327974663E-3</v>
      </c>
      <c r="K53" s="73">
        <f t="shared" ref="K53" si="428">J53*K$67</f>
        <v>980388.53705128236</v>
      </c>
      <c r="L53" s="181">
        <v>1.2703851277863928E-3</v>
      </c>
      <c r="M53" s="73">
        <f t="shared" ref="M53" si="429">L53*M$67</f>
        <v>796559.08329410432</v>
      </c>
      <c r="N53" s="181">
        <v>6.8931256508292602E-3</v>
      </c>
      <c r="O53" s="73">
        <f t="shared" ref="O53" si="430">N53*O$67</f>
        <v>72648.388301753585</v>
      </c>
      <c r="P53" s="181">
        <v>0</v>
      </c>
      <c r="Q53" s="73">
        <f t="shared" ref="Q53" si="431">P53*Q$67</f>
        <v>0</v>
      </c>
      <c r="R53" s="181">
        <v>0</v>
      </c>
      <c r="S53" s="73">
        <f t="shared" ref="S53" si="432">R53*S$67</f>
        <v>0</v>
      </c>
      <c r="T53" s="181">
        <v>1.771381067032255E-3</v>
      </c>
      <c r="U53" s="73">
        <f t="shared" ref="U53" si="433">T53*U$67</f>
        <v>4269879.5201504435</v>
      </c>
      <c r="V53" s="181">
        <v>0</v>
      </c>
      <c r="W53" s="73">
        <f t="shared" ref="W53" si="434">V53*W$67</f>
        <v>0</v>
      </c>
      <c r="X53" s="181">
        <v>3.5305794028591148E-3</v>
      </c>
      <c r="Y53" s="73">
        <f t="shared" ref="Y53" si="435">X53*Y$67</f>
        <v>1172440.1039705591</v>
      </c>
      <c r="Z53" s="38">
        <v>1750000</v>
      </c>
      <c r="AA53" s="73">
        <f t="shared" si="13"/>
        <v>2922440.1039705593</v>
      </c>
      <c r="AB53" s="74">
        <f t="shared" si="325"/>
        <v>37669482.757191494</v>
      </c>
    </row>
    <row r="54" spans="1:28" ht="14">
      <c r="A54" s="37" t="s">
        <v>73</v>
      </c>
      <c r="B54" s="181">
        <v>8.9473889509826127E-3</v>
      </c>
      <c r="C54" s="73">
        <f t="shared" si="2"/>
        <v>962746.23451905372</v>
      </c>
      <c r="D54" s="181">
        <v>1.1054169792386718E-2</v>
      </c>
      <c r="E54" s="73">
        <f t="shared" si="314"/>
        <v>248470.51219288859</v>
      </c>
      <c r="F54" s="101">
        <v>5.0976506248078439E-3</v>
      </c>
      <c r="G54" s="73">
        <f t="shared" ref="G54" si="436">F54*G$67</f>
        <v>25033880.589249447</v>
      </c>
      <c r="H54" s="181">
        <v>0</v>
      </c>
      <c r="I54" s="73">
        <f t="shared" ref="I54" si="437">H54*I$67</f>
        <v>0</v>
      </c>
      <c r="J54" s="181">
        <v>1.5477248429854608E-2</v>
      </c>
      <c r="K54" s="73">
        <f t="shared" ref="K54" si="438">J54*K$67</f>
        <v>4049384.522339805</v>
      </c>
      <c r="L54" s="181">
        <v>2.0694859436017555E-2</v>
      </c>
      <c r="M54" s="73">
        <f t="shared" ref="M54" si="439">L54*M$67</f>
        <v>12976126.609714437</v>
      </c>
      <c r="N54" s="181">
        <v>2.1785521722823543E-2</v>
      </c>
      <c r="O54" s="73">
        <f t="shared" ref="O54" si="440">N54*O$67</f>
        <v>229603.10338831146</v>
      </c>
      <c r="P54" s="181">
        <v>0.01</v>
      </c>
      <c r="Q54" s="73">
        <f t="shared" ref="Q54" si="441">P54*Q$67</f>
        <v>200000</v>
      </c>
      <c r="R54" s="181">
        <v>3.9773200000000003E-3</v>
      </c>
      <c r="S54" s="73">
        <f t="shared" ref="S54" si="442">R54*S$67</f>
        <v>119319.6</v>
      </c>
      <c r="T54" s="181">
        <v>0</v>
      </c>
      <c r="U54" s="73">
        <f t="shared" ref="U54" si="443">T54*U$67</f>
        <v>0</v>
      </c>
      <c r="V54" s="181">
        <v>0</v>
      </c>
      <c r="W54" s="73">
        <f t="shared" ref="W54" si="444">V54*W$67</f>
        <v>0</v>
      </c>
      <c r="X54" s="181">
        <v>6.932355101314857E-3</v>
      </c>
      <c r="Y54" s="73">
        <f t="shared" ref="Y54" si="445">X54*Y$67</f>
        <v>2302106.8805772895</v>
      </c>
      <c r="Z54" s="38">
        <v>1750000</v>
      </c>
      <c r="AA54" s="73">
        <f t="shared" si="13"/>
        <v>4052106.8805772895</v>
      </c>
      <c r="AB54" s="74">
        <f t="shared" si="325"/>
        <v>47871638.051981233</v>
      </c>
    </row>
    <row r="55" spans="1:28" ht="14">
      <c r="A55" s="37" t="s">
        <v>74</v>
      </c>
      <c r="B55" s="181">
        <v>4.0000007882070787E-3</v>
      </c>
      <c r="C55" s="73">
        <f t="shared" si="2"/>
        <v>430403.2962037145</v>
      </c>
      <c r="D55" s="181">
        <v>4.9997117070213551E-3</v>
      </c>
      <c r="E55" s="73">
        <f t="shared" si="314"/>
        <v>112381.20564386186</v>
      </c>
      <c r="F55" s="101">
        <v>8.1302748961094068E-4</v>
      </c>
      <c r="G55" s="73">
        <f t="shared" ref="G55" si="446">F55*G$67</f>
        <v>3992669.2880143686</v>
      </c>
      <c r="H55" s="181">
        <v>0</v>
      </c>
      <c r="I55" s="73">
        <f t="shared" ref="I55" si="447">H55*I$67</f>
        <v>0</v>
      </c>
      <c r="J55" s="181">
        <v>2.5060678999821845E-3</v>
      </c>
      <c r="K55" s="73">
        <f t="shared" ref="K55" si="448">J55*K$67</f>
        <v>655674.20540627756</v>
      </c>
      <c r="L55" s="181">
        <v>1.0332246215349243E-2</v>
      </c>
      <c r="M55" s="73">
        <f t="shared" ref="M55" si="449">L55*M$67</f>
        <v>6478542.91871987</v>
      </c>
      <c r="N55" s="181">
        <v>1.0493065844960918E-2</v>
      </c>
      <c r="O55" s="73">
        <f t="shared" ref="O55" si="450">N55*O$67</f>
        <v>110589.06519263604</v>
      </c>
      <c r="P55" s="181">
        <v>0</v>
      </c>
      <c r="Q55" s="73">
        <f t="shared" ref="Q55" si="451">P55*Q$67</f>
        <v>0</v>
      </c>
      <c r="R55" s="181">
        <v>9.0322479999999997E-2</v>
      </c>
      <c r="S55" s="73">
        <f t="shared" ref="S55" si="452">R55*S$67</f>
        <v>2709674.4</v>
      </c>
      <c r="T55" s="181">
        <v>0</v>
      </c>
      <c r="U55" s="73">
        <f t="shared" ref="U55" si="453">T55*U$67</f>
        <v>0</v>
      </c>
      <c r="V55" s="181">
        <v>0</v>
      </c>
      <c r="W55" s="73">
        <f t="shared" ref="W55" si="454">V55*W$67</f>
        <v>0</v>
      </c>
      <c r="X55" s="181">
        <v>1.130513386696108E-3</v>
      </c>
      <c r="Y55" s="73">
        <f t="shared" ref="Y55" si="455">X55*Y$67</f>
        <v>375422.5812241236</v>
      </c>
      <c r="Z55" s="38">
        <v>1750000</v>
      </c>
      <c r="AA55" s="73">
        <f t="shared" si="13"/>
        <v>2125422.5812241235</v>
      </c>
      <c r="AB55" s="74">
        <f t="shared" si="325"/>
        <v>16615356.960404852</v>
      </c>
    </row>
    <row r="56" spans="1:28" ht="14">
      <c r="A56" s="37" t="s">
        <v>75</v>
      </c>
      <c r="B56" s="181">
        <v>1.3160299484534151E-2</v>
      </c>
      <c r="C56" s="73">
        <f t="shared" si="2"/>
        <v>1416058.7902559952</v>
      </c>
      <c r="D56" s="181">
        <v>1.4784519439610825E-2</v>
      </c>
      <c r="E56" s="73">
        <f t="shared" si="314"/>
        <v>332319.58497831854</v>
      </c>
      <c r="F56" s="101">
        <v>1.0195842604072478E-2</v>
      </c>
      <c r="G56" s="73">
        <f t="shared" ref="G56" si="456">F56*G$67</f>
        <v>50070419.697849318</v>
      </c>
      <c r="H56" s="181">
        <v>1.3918697363551748E-2</v>
      </c>
      <c r="I56" s="73">
        <f t="shared" ref="I56" si="457">H56*I$67</f>
        <v>315878.27400000003</v>
      </c>
      <c r="J56" s="181">
        <v>2.0853010788757006E-2</v>
      </c>
      <c r="K56" s="73">
        <f t="shared" ref="K56" si="458">J56*K$67</f>
        <v>5455870.2417216953</v>
      </c>
      <c r="L56" s="181">
        <v>2.9848702844074523E-2</v>
      </c>
      <c r="M56" s="73">
        <f t="shared" ref="M56" si="459">L56*M$67</f>
        <v>18715785.359061565</v>
      </c>
      <c r="N56" s="181">
        <v>2.8294921315431393E-2</v>
      </c>
      <c r="O56" s="73">
        <f t="shared" ref="O56" si="460">N56*O$67</f>
        <v>298207.30606350297</v>
      </c>
      <c r="P56" s="181">
        <v>5.5500000000000001E-2</v>
      </c>
      <c r="Q56" s="73">
        <f t="shared" ref="Q56" si="461">P56*Q$67</f>
        <v>1110000</v>
      </c>
      <c r="R56" s="181">
        <v>0</v>
      </c>
      <c r="S56" s="73">
        <f t="shared" ref="S56" si="462">R56*S$67</f>
        <v>0</v>
      </c>
      <c r="T56" s="181">
        <v>1.7721107705689037E-3</v>
      </c>
      <c r="U56" s="73">
        <f t="shared" ref="U56" si="463">T56*U$67</f>
        <v>4271638.4562963163</v>
      </c>
      <c r="V56" s="181">
        <v>0</v>
      </c>
      <c r="W56" s="73">
        <f t="shared" ref="W56" si="464">V56*W$67</f>
        <v>0</v>
      </c>
      <c r="X56" s="181">
        <v>1.1199918138255164E-2</v>
      </c>
      <c r="Y56" s="73">
        <f t="shared" ref="Y56" si="465">X56*Y$67</f>
        <v>3719285.6152289822</v>
      </c>
      <c r="Z56" s="38">
        <v>1750000</v>
      </c>
      <c r="AA56" s="73">
        <f t="shared" si="13"/>
        <v>5469285.6152289826</v>
      </c>
      <c r="AB56" s="74">
        <f t="shared" si="325"/>
        <v>87455463.32545568</v>
      </c>
    </row>
    <row r="57" spans="1:28" ht="14">
      <c r="A57" s="37" t="s">
        <v>76</v>
      </c>
      <c r="B57" s="181">
        <v>8.464520157969084E-2</v>
      </c>
      <c r="C57" s="73">
        <f t="shared" si="2"/>
        <v>9107891.6472055335</v>
      </c>
      <c r="D57" s="181">
        <v>8.1182167946613287E-2</v>
      </c>
      <c r="E57" s="73">
        <f t="shared" si="314"/>
        <v>1824775.1960999039</v>
      </c>
      <c r="F57" s="101">
        <v>5.8997702713135383E-2</v>
      </c>
      <c r="G57" s="73">
        <f t="shared" ref="G57" si="466">F57*G$67</f>
        <v>289729829.18309408</v>
      </c>
      <c r="H57" s="181">
        <v>4.1053682168369347E-2</v>
      </c>
      <c r="I57" s="73">
        <f t="shared" ref="I57" si="467">H57*I$67</f>
        <v>931693.96</v>
      </c>
      <c r="J57" s="181">
        <v>7.0103185255398048E-2</v>
      </c>
      <c r="K57" s="73">
        <f t="shared" ref="K57" si="468">J57*K$67</f>
        <v>18341422.548490785</v>
      </c>
      <c r="L57" s="181">
        <v>6.6199436086053401E-2</v>
      </c>
      <c r="M57" s="73">
        <f t="shared" ref="M57" si="469">L57*M$67</f>
        <v>41508485.080565155</v>
      </c>
      <c r="N57" s="181">
        <v>5.3581177845863845E-2</v>
      </c>
      <c r="O57" s="73">
        <f t="shared" ref="O57" si="470">N57*O$67</f>
        <v>564705.53577437624</v>
      </c>
      <c r="P57" s="181">
        <v>0</v>
      </c>
      <c r="Q57" s="73">
        <f t="shared" ref="Q57" si="471">P57*Q$67</f>
        <v>0</v>
      </c>
      <c r="R57" s="181">
        <v>0</v>
      </c>
      <c r="S57" s="73">
        <f t="shared" ref="S57" si="472">R57*S$67</f>
        <v>0</v>
      </c>
      <c r="T57" s="181">
        <v>1.1054676648710803E-2</v>
      </c>
      <c r="U57" s="73">
        <f t="shared" ref="U57" si="473">T57*U$67</f>
        <v>26647082.495522741</v>
      </c>
      <c r="V57" s="181">
        <v>3.6757548140581596E-2</v>
      </c>
      <c r="W57" s="73">
        <f t="shared" ref="W57" si="474">V57*W$67</f>
        <v>2626308.4358704849</v>
      </c>
      <c r="X57" s="181">
        <v>7.683320170728411E-2</v>
      </c>
      <c r="Y57" s="73">
        <f t="shared" ref="Y57" si="475">X57*Y$67</f>
        <v>25514884.872757468</v>
      </c>
      <c r="Z57" s="38">
        <v>1750000</v>
      </c>
      <c r="AA57" s="73">
        <f t="shared" si="13"/>
        <v>27264884.872757468</v>
      </c>
      <c r="AB57" s="74">
        <f t="shared" si="325"/>
        <v>418547078.95538044</v>
      </c>
    </row>
    <row r="58" spans="1:28" ht="14">
      <c r="A58" s="37" t="s">
        <v>77</v>
      </c>
      <c r="B58" s="181">
        <v>9.2155201089031934E-3</v>
      </c>
      <c r="C58" s="73">
        <f t="shared" si="2"/>
        <v>991597.36237987201</v>
      </c>
      <c r="D58" s="181">
        <v>9.6119628884660593E-3</v>
      </c>
      <c r="E58" s="73">
        <f t="shared" si="314"/>
        <v>216053.2529291411</v>
      </c>
      <c r="F58" s="101">
        <v>1.0077656575417824E-2</v>
      </c>
      <c r="G58" s="73">
        <f t="shared" ref="G58" si="476">F58*G$67</f>
        <v>49490023.914297603</v>
      </c>
      <c r="H58" s="181">
        <v>2.106359548293766E-2</v>
      </c>
      <c r="I58" s="73">
        <f t="shared" ref="I58" si="477">H58*I$67</f>
        <v>478028.36799999996</v>
      </c>
      <c r="J58" s="181">
        <v>6.5972929600770268E-3</v>
      </c>
      <c r="K58" s="73">
        <f t="shared" ref="K58" si="478">J58*K$67</f>
        <v>1726080.4543490957</v>
      </c>
      <c r="L58" s="181">
        <v>1.0106569188067519E-2</v>
      </c>
      <c r="M58" s="73">
        <f t="shared" ref="M58" si="479">L58*M$67</f>
        <v>6337038.5181722157</v>
      </c>
      <c r="N58" s="181">
        <v>1.010905715031067E-2</v>
      </c>
      <c r="O58" s="73">
        <f t="shared" ref="O58" si="480">N58*O$67</f>
        <v>106541.90078952603</v>
      </c>
      <c r="P58" s="181">
        <v>0</v>
      </c>
      <c r="Q58" s="73">
        <f t="shared" ref="Q58" si="481">P58*Q$67</f>
        <v>0</v>
      </c>
      <c r="R58" s="181">
        <v>3.6342000000000002E-3</v>
      </c>
      <c r="S58" s="73">
        <f t="shared" ref="S58" si="482">R58*S$67</f>
        <v>109026</v>
      </c>
      <c r="T58" s="181">
        <v>3.2487005688795921E-3</v>
      </c>
      <c r="U58" s="73">
        <f t="shared" ref="U58" si="483">T58*U$67</f>
        <v>7830929.3716231631</v>
      </c>
      <c r="V58" s="181">
        <v>3.8061049303757073E-3</v>
      </c>
      <c r="W58" s="73">
        <f t="shared" ref="W58" si="484">V58*W$67</f>
        <v>271944.29422287911</v>
      </c>
      <c r="X58" s="181">
        <v>9.3430598603610297E-3</v>
      </c>
      <c r="Y58" s="73">
        <f t="shared" ref="Y58" si="485">X58*Y$67</f>
        <v>3102657.3330184813</v>
      </c>
      <c r="Z58" s="38">
        <v>1750000</v>
      </c>
      <c r="AA58" s="73">
        <f t="shared" si="13"/>
        <v>4852657.3330184817</v>
      </c>
      <c r="AB58" s="74">
        <f t="shared" si="325"/>
        <v>72409920.769781977</v>
      </c>
    </row>
    <row r="59" spans="1:28" ht="14">
      <c r="A59" s="37" t="s">
        <v>126</v>
      </c>
      <c r="B59" s="181">
        <v>4.0000007882070787E-3</v>
      </c>
      <c r="C59" s="73">
        <f t="shared" si="2"/>
        <v>430403.2962037145</v>
      </c>
      <c r="D59" s="181">
        <v>4.9997117070213551E-3</v>
      </c>
      <c r="E59" s="73">
        <f t="shared" si="314"/>
        <v>112381.20564386186</v>
      </c>
      <c r="F59" s="101">
        <v>5.0329599174248323E-4</v>
      </c>
      <c r="G59" s="73">
        <f t="shared" ref="G59" si="486">F59*G$67</f>
        <v>2471619.317536917</v>
      </c>
      <c r="H59" s="181">
        <v>0</v>
      </c>
      <c r="I59" s="73">
        <f t="shared" ref="I59" si="487">H59*I$67</f>
        <v>0</v>
      </c>
      <c r="J59" s="181">
        <v>1.7614259900149726E-3</v>
      </c>
      <c r="K59" s="73">
        <f t="shared" ref="K59" si="488">J59*K$67</f>
        <v>460850.07768274884</v>
      </c>
      <c r="L59" s="181">
        <v>5.6046311379420672E-3</v>
      </c>
      <c r="M59" s="73">
        <f t="shared" ref="M59" si="489">L59*M$67</f>
        <v>3514225.5240502073</v>
      </c>
      <c r="N59" s="181">
        <v>1.0082677750285627E-2</v>
      </c>
      <c r="O59" s="73">
        <f t="shared" ref="O59" si="490">N59*O$67</f>
        <v>106263.88164505329</v>
      </c>
      <c r="P59" s="181">
        <v>0</v>
      </c>
      <c r="Q59" s="73">
        <f t="shared" ref="Q59" si="491">P59*Q$67</f>
        <v>0</v>
      </c>
      <c r="R59" s="181">
        <v>0</v>
      </c>
      <c r="S59" s="73">
        <f t="shared" ref="S59" si="492">R59*S$67</f>
        <v>0</v>
      </c>
      <c r="T59" s="181">
        <v>0</v>
      </c>
      <c r="U59" s="73">
        <f t="shared" ref="U59" si="493">T59*U$67</f>
        <v>0</v>
      </c>
      <c r="V59" s="181">
        <v>0</v>
      </c>
      <c r="W59" s="73">
        <f t="shared" ref="W59" si="494">V59*W$67</f>
        <v>0</v>
      </c>
      <c r="X59" s="181">
        <v>4.4517802925752133E-4</v>
      </c>
      <c r="Y59" s="73">
        <f t="shared" ref="Y59" si="495">X59*Y$67</f>
        <v>147835.38772288157</v>
      </c>
      <c r="Z59" s="38">
        <v>1750000</v>
      </c>
      <c r="AA59" s="73">
        <f t="shared" si="13"/>
        <v>1897835.3877228815</v>
      </c>
      <c r="AB59" s="74">
        <f t="shared" si="325"/>
        <v>8993578.6904853843</v>
      </c>
    </row>
    <row r="60" spans="1:28" ht="14">
      <c r="A60" s="37" t="s">
        <v>127</v>
      </c>
      <c r="B60" s="181">
        <v>0</v>
      </c>
      <c r="C60" s="73">
        <f t="shared" si="2"/>
        <v>0</v>
      </c>
      <c r="D60" s="181">
        <v>0</v>
      </c>
      <c r="E60" s="73">
        <f t="shared" si="314"/>
        <v>0</v>
      </c>
      <c r="F60" s="101">
        <v>2.2225882307463777E-4</v>
      </c>
      <c r="G60" s="73">
        <f t="shared" ref="G60" si="496">F60*G$67</f>
        <v>1091483.3609192935</v>
      </c>
      <c r="H60" s="181">
        <v>0</v>
      </c>
      <c r="I60" s="73">
        <f t="shared" ref="I60" si="497">H60*I$67</f>
        <v>0</v>
      </c>
      <c r="J60" s="181">
        <v>6.112177898163994E-4</v>
      </c>
      <c r="K60" s="73">
        <f t="shared" ref="K60" si="498">J60*K$67</f>
        <v>159915.7543460406</v>
      </c>
      <c r="L60" s="181">
        <v>0</v>
      </c>
      <c r="M60" s="73">
        <f t="shared" ref="M60" si="499">L60*M$67</f>
        <v>0</v>
      </c>
      <c r="N60" s="181">
        <v>0</v>
      </c>
      <c r="O60" s="73">
        <f t="shared" ref="O60" si="500">N60*O$67</f>
        <v>0</v>
      </c>
      <c r="P60" s="181">
        <v>0</v>
      </c>
      <c r="Q60" s="73">
        <f t="shared" ref="Q60" si="501">P60*Q$67</f>
        <v>0</v>
      </c>
      <c r="R60" s="181">
        <v>0</v>
      </c>
      <c r="S60" s="73">
        <f t="shared" ref="S60" si="502">R60*S$67</f>
        <v>0</v>
      </c>
      <c r="T60" s="181">
        <v>0</v>
      </c>
      <c r="U60" s="73">
        <f t="shared" ref="U60" si="503">T60*U$67</f>
        <v>0</v>
      </c>
      <c r="V60" s="181">
        <v>0</v>
      </c>
      <c r="W60" s="73">
        <f t="shared" ref="W60" si="504">V60*W$67</f>
        <v>0</v>
      </c>
      <c r="X60" s="181">
        <v>3.2233232128070656E-4</v>
      </c>
      <c r="Y60" s="73">
        <f t="shared" ref="Y60" si="505">X60*Y$67</f>
        <v>107040.60074937895</v>
      </c>
      <c r="Z60" s="38">
        <v>500000</v>
      </c>
      <c r="AA60" s="73">
        <f t="shared" si="13"/>
        <v>607040.60074937891</v>
      </c>
      <c r="AB60" s="74">
        <f t="shared" si="325"/>
        <v>1858439.716014713</v>
      </c>
    </row>
    <row r="61" spans="1:28" ht="14">
      <c r="A61" s="37" t="s">
        <v>78</v>
      </c>
      <c r="B61" s="181">
        <v>2.463070175981024E-2</v>
      </c>
      <c r="C61" s="73">
        <f t="shared" si="2"/>
        <v>2650283.2840652284</v>
      </c>
      <c r="D61" s="181">
        <v>2.3924694469458208E-2</v>
      </c>
      <c r="E61" s="73">
        <f t="shared" si="314"/>
        <v>537768.20878749585</v>
      </c>
      <c r="F61" s="101">
        <v>2.5604845296572584E-2</v>
      </c>
      <c r="G61" s="73">
        <f t="shared" ref="G61" si="506">F61*G$67</f>
        <v>125741971.51550877</v>
      </c>
      <c r="H61" s="181">
        <v>1.1496484361858411E-2</v>
      </c>
      <c r="I61" s="73">
        <f t="shared" ref="I61" si="507">H61*I$67</f>
        <v>260907.29200000002</v>
      </c>
      <c r="J61" s="181">
        <v>2.2886042953027517E-2</v>
      </c>
      <c r="K61" s="73">
        <f t="shared" ref="K61" si="508">J61*K$67</f>
        <v>5987781.9065584494</v>
      </c>
      <c r="L61" s="181">
        <v>2.4224416189350242E-2</v>
      </c>
      <c r="M61" s="73">
        <f t="shared" ref="M61" si="509">L61*M$67</f>
        <v>15189235.398832707</v>
      </c>
      <c r="N61" s="181">
        <v>2.4631576349096688E-2</v>
      </c>
      <c r="O61" s="73">
        <f t="shared" ref="O61" si="510">N61*O$67</f>
        <v>259598.39030036997</v>
      </c>
      <c r="P61" s="181">
        <v>5.7500000000000002E-2</v>
      </c>
      <c r="Q61" s="73">
        <f t="shared" ref="Q61" si="511">P61*Q$67</f>
        <v>1150000</v>
      </c>
      <c r="R61" s="181">
        <v>0</v>
      </c>
      <c r="S61" s="73">
        <f t="shared" ref="S61" si="512">R61*S$67</f>
        <v>0</v>
      </c>
      <c r="T61" s="181">
        <v>1.5487923752844303E-4</v>
      </c>
      <c r="U61" s="73">
        <f t="shared" ref="U61" si="513">T61*U$67</f>
        <v>373333.38191718014</v>
      </c>
      <c r="V61" s="181">
        <v>2.2905418088720417E-2</v>
      </c>
      <c r="W61" s="73">
        <f t="shared" ref="W61" si="514">V61*W$67</f>
        <v>1636580.6697300293</v>
      </c>
      <c r="X61" s="181">
        <v>2.5820033804871172E-2</v>
      </c>
      <c r="Y61" s="73">
        <f t="shared" ref="Y61" si="515">X61*Y$67</f>
        <v>8574355.5559723265</v>
      </c>
      <c r="Z61" s="38">
        <v>1750000</v>
      </c>
      <c r="AA61" s="73">
        <f t="shared" si="13"/>
        <v>10324355.555972327</v>
      </c>
      <c r="AB61" s="74">
        <f t="shared" si="325"/>
        <v>164111815.60367256</v>
      </c>
    </row>
    <row r="62" spans="1:28" ht="14">
      <c r="A62" s="37" t="s">
        <v>79</v>
      </c>
      <c r="B62" s="181">
        <v>2.2387623932778173E-2</v>
      </c>
      <c r="C62" s="73">
        <f t="shared" si="2"/>
        <v>2408926.3090260308</v>
      </c>
      <c r="D62" s="181">
        <v>2.1600105906749944E-2</v>
      </c>
      <c r="E62" s="73">
        <f t="shared" si="314"/>
        <v>485517.18300610658</v>
      </c>
      <c r="F62" s="101">
        <v>2.9129073377920825E-2</v>
      </c>
      <c r="G62" s="73">
        <f t="shared" ref="G62" si="516">F62*G$67</f>
        <v>143048984.38304463</v>
      </c>
      <c r="H62" s="181">
        <v>2.4586993820999631E-2</v>
      </c>
      <c r="I62" s="73">
        <f t="shared" ref="I62" si="517">H62*I$67</f>
        <v>557990.23200000008</v>
      </c>
      <c r="J62" s="181">
        <v>2.2272385993804541E-2</v>
      </c>
      <c r="K62" s="73">
        <f t="shared" ref="K62" si="518">J62*K$67</f>
        <v>5827227.980971111</v>
      </c>
      <c r="L62" s="181">
        <v>2.012247396976494E-2</v>
      </c>
      <c r="M62" s="73">
        <f t="shared" ref="M62" si="519">L62*M$67</f>
        <v>12617228.483219907</v>
      </c>
      <c r="N62" s="181">
        <v>1.9011633598047473E-2</v>
      </c>
      <c r="O62" s="73">
        <f t="shared" ref="O62" si="520">N62*O$67</f>
        <v>200368.39742148903</v>
      </c>
      <c r="P62" s="181">
        <v>0</v>
      </c>
      <c r="Q62" s="73">
        <f t="shared" ref="Q62" si="521">P62*Q$67</f>
        <v>0</v>
      </c>
      <c r="R62" s="181">
        <v>7.3613239999999996E-2</v>
      </c>
      <c r="S62" s="73">
        <f t="shared" ref="S62" si="522">R62*S$67</f>
        <v>2208397.1999999997</v>
      </c>
      <c r="T62" s="181">
        <v>1.9803562459634064E-2</v>
      </c>
      <c r="U62" s="73">
        <f t="shared" ref="U62" si="523">T62*U$67</f>
        <v>47736101.13947995</v>
      </c>
      <c r="V62" s="181">
        <v>0.23092995813269934</v>
      </c>
      <c r="W62" s="73">
        <f t="shared" ref="W62" si="524">V62*W$67</f>
        <v>16499830.043602301</v>
      </c>
      <c r="X62" s="181">
        <v>3.4930729575828538E-2</v>
      </c>
      <c r="Y62" s="73">
        <f t="shared" ref="Y62" si="525">X62*Y$67</f>
        <v>11599849.073635506</v>
      </c>
      <c r="Z62" s="38">
        <v>1750000</v>
      </c>
      <c r="AA62" s="73">
        <f t="shared" si="13"/>
        <v>13349849.073635506</v>
      </c>
      <c r="AB62" s="74">
        <f t="shared" si="325"/>
        <v>244940420.42540699</v>
      </c>
    </row>
    <row r="63" spans="1:28" ht="14">
      <c r="A63" s="37" t="s">
        <v>80</v>
      </c>
      <c r="B63" s="181">
        <v>4.0000007882070787E-3</v>
      </c>
      <c r="C63" s="73">
        <f t="shared" si="2"/>
        <v>430403.2962037145</v>
      </c>
      <c r="D63" s="181">
        <v>4.9997117070213551E-3</v>
      </c>
      <c r="E63" s="73">
        <f t="shared" si="314"/>
        <v>112381.20564386186</v>
      </c>
      <c r="F63" s="101">
        <v>1.9445589913744167E-3</v>
      </c>
      <c r="G63" s="73">
        <f t="shared" ref="G63" si="526">F63*G$67</f>
        <v>9549469.1911440045</v>
      </c>
      <c r="H63" s="181">
        <v>1.0691397620355937E-2</v>
      </c>
      <c r="I63" s="73">
        <f t="shared" ref="I63" si="527">H63*I$67</f>
        <v>242636.22799999997</v>
      </c>
      <c r="J63" s="181">
        <v>7.8379601658156682E-3</v>
      </c>
      <c r="K63" s="73">
        <f t="shared" ref="K63" si="528">J63*K$67</f>
        <v>2050681.9882110048</v>
      </c>
      <c r="L63" s="181">
        <v>1.2442821810607473E-2</v>
      </c>
      <c r="M63" s="73">
        <f t="shared" ref="M63" si="529">L63*M$67</f>
        <v>7801919.6842454867</v>
      </c>
      <c r="N63" s="181">
        <v>1.5601625084096115E-2</v>
      </c>
      <c r="O63" s="73">
        <f t="shared" ref="O63" si="530">N63*O$67</f>
        <v>164429.45837081014</v>
      </c>
      <c r="P63" s="181">
        <v>9.4600000000000004E-2</v>
      </c>
      <c r="Q63" s="73">
        <f t="shared" ref="Q63" si="531">P63*Q$67</f>
        <v>1892000</v>
      </c>
      <c r="R63" s="181">
        <v>0</v>
      </c>
      <c r="S63" s="73">
        <f t="shared" ref="S63" si="532">R63*S$67</f>
        <v>0</v>
      </c>
      <c r="T63" s="181">
        <v>4.1894171525175039E-4</v>
      </c>
      <c r="U63" s="73">
        <f t="shared" ref="U63" si="533">T63*U$67</f>
        <v>1009850.8352508969</v>
      </c>
      <c r="V63" s="181">
        <v>0</v>
      </c>
      <c r="W63" s="73">
        <f t="shared" ref="W63" si="534">V63*W$67</f>
        <v>0</v>
      </c>
      <c r="X63" s="181">
        <v>2.288728734819731E-3</v>
      </c>
      <c r="Y63" s="73">
        <f t="shared" ref="Y63" si="535">X63*Y$67</f>
        <v>760044.47135203844</v>
      </c>
      <c r="Z63" s="38">
        <v>1750000</v>
      </c>
      <c r="AA63" s="73">
        <f t="shared" si="13"/>
        <v>2510044.4713520384</v>
      </c>
      <c r="AB63" s="74">
        <f t="shared" si="325"/>
        <v>25763816.358421814</v>
      </c>
    </row>
    <row r="64" spans="1:28" ht="14">
      <c r="A64" s="37" t="s">
        <v>128</v>
      </c>
      <c r="B64" s="181">
        <v>1.2934234187714461E-2</v>
      </c>
      <c r="C64" s="73">
        <f t="shared" si="2"/>
        <v>1391733.9828221253</v>
      </c>
      <c r="D64" s="181">
        <v>1.3596298431638185E-2</v>
      </c>
      <c r="E64" s="73">
        <f t="shared" si="314"/>
        <v>305611.30312682665</v>
      </c>
      <c r="F64" s="101">
        <v>1.0106674601386655E-2</v>
      </c>
      <c r="G64" s="73">
        <f t="shared" ref="G64" si="536">F64*G$67</f>
        <v>49632527.559703246</v>
      </c>
      <c r="H64" s="181">
        <v>1.266441635921187E-2</v>
      </c>
      <c r="I64" s="73">
        <f t="shared" ref="I64" si="537">H64*I$67</f>
        <v>287412.95800000004</v>
      </c>
      <c r="J64" s="181">
        <v>1.7795865384135856E-2</v>
      </c>
      <c r="K64" s="73">
        <f t="shared" ref="K64" si="538">J64*K$67</f>
        <v>4656015.0646130964</v>
      </c>
      <c r="L64" s="181">
        <v>2.5124145650849593E-2</v>
      </c>
      <c r="M64" s="73">
        <f t="shared" ref="M64" si="539">L64*M$67</f>
        <v>15753385.324228501</v>
      </c>
      <c r="N64" s="181">
        <v>2.5371424307656154E-2</v>
      </c>
      <c r="O64" s="73">
        <f t="shared" ref="O64" si="540">N64*O$67</f>
        <v>267395.83437731373</v>
      </c>
      <c r="P64" s="181">
        <v>0</v>
      </c>
      <c r="Q64" s="73">
        <f t="shared" ref="Q64" si="541">P64*Q$67</f>
        <v>0</v>
      </c>
      <c r="R64" s="181">
        <v>6.8908360000000002E-2</v>
      </c>
      <c r="S64" s="73">
        <f t="shared" ref="S64" si="542">R64*S$67</f>
        <v>2067250.8</v>
      </c>
      <c r="T64" s="181">
        <v>5.9351682511134686E-4</v>
      </c>
      <c r="U64" s="73">
        <f t="shared" ref="U64" si="543">T64*U$67</f>
        <v>1430660.733352812</v>
      </c>
      <c r="V64" s="181">
        <v>0</v>
      </c>
      <c r="W64" s="73">
        <f t="shared" ref="W64" si="544">V64*W$67</f>
        <v>0</v>
      </c>
      <c r="X64" s="181">
        <v>1.3852712230365367E-2</v>
      </c>
      <c r="Y64" s="73">
        <f t="shared" ref="Y64" si="545">X64*Y$67</f>
        <v>4600229.4565280769</v>
      </c>
      <c r="Z64" s="38">
        <v>1750000</v>
      </c>
      <c r="AA64" s="73">
        <f t="shared" si="13"/>
        <v>6350229.4565280769</v>
      </c>
      <c r="AB64" s="74">
        <f t="shared" si="325"/>
        <v>82142223.016752005</v>
      </c>
    </row>
    <row r="65" spans="1:30" ht="14">
      <c r="A65" s="37" t="s">
        <v>133</v>
      </c>
      <c r="B65" s="181">
        <v>4.000010171624678E-3</v>
      </c>
      <c r="C65" s="73">
        <f t="shared" si="2"/>
        <v>430404.30586698162</v>
      </c>
      <c r="D65" s="181">
        <v>4.9997117070213551E-3</v>
      </c>
      <c r="E65" s="73">
        <f t="shared" si="314"/>
        <v>112381.20564386186</v>
      </c>
      <c r="F65" s="101">
        <v>4.2140523859560884E-4</v>
      </c>
      <c r="G65" s="73">
        <f t="shared" ref="G65" si="546">F65*G$67</f>
        <v>2069464.7788037269</v>
      </c>
      <c r="H65" s="181">
        <v>0</v>
      </c>
      <c r="I65" s="73">
        <f t="shared" ref="I65" si="547">H65*I$67</f>
        <v>0</v>
      </c>
      <c r="J65" s="181">
        <v>1.6345076162909359E-3</v>
      </c>
      <c r="K65" s="73">
        <f t="shared" ref="K65" si="548">J65*K$67</f>
        <v>427643.83301413618</v>
      </c>
      <c r="L65" s="181">
        <v>1.0110157472044462E-2</v>
      </c>
      <c r="M65" s="73">
        <f t="shared" ref="M65" si="549">L65*M$67</f>
        <v>6339288.450206805</v>
      </c>
      <c r="N65" s="181">
        <v>9.3819278310489865E-3</v>
      </c>
      <c r="O65" s="73">
        <f t="shared" ref="O65" si="550">N65*O$67</f>
        <v>98878.501657238696</v>
      </c>
      <c r="P65" s="181">
        <v>0</v>
      </c>
      <c r="Q65" s="73">
        <f t="shared" ref="Q65" si="551">P65*Q$67</f>
        <v>0</v>
      </c>
      <c r="R65" s="181">
        <v>5.4818000000000002E-3</v>
      </c>
      <c r="S65" s="73">
        <f t="shared" ref="S65" si="552">R65*S$67</f>
        <v>164454</v>
      </c>
      <c r="T65" s="181">
        <v>0</v>
      </c>
      <c r="U65" s="73">
        <f t="shared" ref="U65" si="553">T65*U$67</f>
        <v>0</v>
      </c>
      <c r="V65" s="181">
        <v>0</v>
      </c>
      <c r="W65" s="73">
        <f t="shared" ref="W65" si="554">V65*W$67</f>
        <v>0</v>
      </c>
      <c r="X65" s="181">
        <v>6.1852884349986189E-4</v>
      </c>
      <c r="Y65" s="73">
        <f t="shared" ref="Y65" si="555">X65*Y$67</f>
        <v>205401.98614269937</v>
      </c>
      <c r="Z65" s="38">
        <v>1750000</v>
      </c>
      <c r="AA65" s="73">
        <f t="shared" si="13"/>
        <v>1955401.9861426994</v>
      </c>
      <c r="AB65" s="74">
        <f t="shared" si="325"/>
        <v>11597917.061335448</v>
      </c>
    </row>
    <row r="66" spans="1:30">
      <c r="A66" s="37" t="s">
        <v>106</v>
      </c>
      <c r="B66" s="181">
        <v>0</v>
      </c>
      <c r="C66" s="73">
        <f t="shared" si="2"/>
        <v>0</v>
      </c>
      <c r="D66" s="181">
        <v>0</v>
      </c>
      <c r="E66" s="73">
        <f t="shared" si="314"/>
        <v>0</v>
      </c>
      <c r="F66" s="181">
        <v>0</v>
      </c>
      <c r="G66" s="73">
        <f t="shared" ref="G66" si="556">F66*G$67</f>
        <v>0</v>
      </c>
      <c r="H66" s="181">
        <v>0</v>
      </c>
      <c r="I66" s="73">
        <f t="shared" ref="I66" si="557">H66*I$67</f>
        <v>0</v>
      </c>
      <c r="J66" s="181">
        <v>0</v>
      </c>
      <c r="K66" s="73">
        <f t="shared" ref="K66" si="558">J66*K$67</f>
        <v>0</v>
      </c>
      <c r="L66" s="181">
        <v>0</v>
      </c>
      <c r="M66" s="73">
        <f t="shared" ref="M66" si="559">L66*M$67</f>
        <v>0</v>
      </c>
      <c r="N66" s="181">
        <v>0</v>
      </c>
      <c r="O66" s="73">
        <f t="shared" ref="O66" si="560">N66*O$67</f>
        <v>0</v>
      </c>
      <c r="P66" s="181">
        <v>0</v>
      </c>
      <c r="Q66" s="73">
        <f t="shared" ref="Q66" si="561">P66*Q$67</f>
        <v>0</v>
      </c>
      <c r="R66" s="181">
        <v>0</v>
      </c>
      <c r="S66" s="73">
        <f t="shared" ref="S66" si="562">R66*S$67</f>
        <v>0</v>
      </c>
      <c r="T66" s="181">
        <v>0</v>
      </c>
      <c r="U66" s="73">
        <f t="shared" ref="U66" si="563">T66*U$67</f>
        <v>0</v>
      </c>
      <c r="V66" s="181">
        <v>0</v>
      </c>
      <c r="W66" s="73">
        <f t="shared" ref="W66" si="564">V66*W$67</f>
        <v>0</v>
      </c>
      <c r="X66" s="181">
        <v>0</v>
      </c>
      <c r="Y66" s="73">
        <f t="shared" ref="Y66" si="565">X66*Y$67</f>
        <v>0</v>
      </c>
      <c r="Z66" s="40">
        <v>0</v>
      </c>
      <c r="AA66" s="73">
        <f t="shared" si="13"/>
        <v>0</v>
      </c>
      <c r="AB66" s="74">
        <f t="shared" si="325"/>
        <v>0</v>
      </c>
      <c r="AD66" s="19" t="s">
        <v>151</v>
      </c>
    </row>
    <row r="67" spans="1:30" ht="12" thickBot="1">
      <c r="A67" s="133" t="s">
        <v>107</v>
      </c>
      <c r="B67" s="133"/>
      <c r="C67" s="126">
        <f>C70-C68</f>
        <v>107600802.848</v>
      </c>
      <c r="D67" s="126"/>
      <c r="E67" s="126">
        <f>E70-E68</f>
        <v>22477537.152000003</v>
      </c>
      <c r="F67" s="126"/>
      <c r="G67" s="126">
        <f>G70-G68</f>
        <v>4910866285.6221342</v>
      </c>
      <c r="H67" s="155"/>
      <c r="I67" s="126">
        <f>I70-I68</f>
        <v>22694528.5</v>
      </c>
      <c r="J67" s="126"/>
      <c r="K67" s="126">
        <f>K70-K68</f>
        <v>261634653</v>
      </c>
      <c r="L67" s="126"/>
      <c r="M67" s="126">
        <f>M70-M68</f>
        <v>627021732.12786591</v>
      </c>
      <c r="N67" s="126"/>
      <c r="O67" s="126">
        <f>O70-O68</f>
        <v>10539252</v>
      </c>
      <c r="P67" s="126"/>
      <c r="Q67" s="126">
        <f>Q70-Q68</f>
        <v>20000000</v>
      </c>
      <c r="R67" s="126"/>
      <c r="S67" s="126">
        <f>S70-S68</f>
        <v>30000000</v>
      </c>
      <c r="T67" s="126"/>
      <c r="U67" s="126">
        <f>U70-U68</f>
        <v>2410480500</v>
      </c>
      <c r="V67" s="126"/>
      <c r="W67" s="126">
        <f>W70-W68</f>
        <v>71449500</v>
      </c>
      <c r="X67" s="126"/>
      <c r="Y67" s="126">
        <f>Y70-Y68</f>
        <v>332081500</v>
      </c>
      <c r="Z67" s="126">
        <f>SUM(Z10:Z66)</f>
        <v>90500000</v>
      </c>
      <c r="AA67" s="126">
        <f t="shared" si="13"/>
        <v>422581500</v>
      </c>
      <c r="AB67" s="136">
        <f t="shared" si="325"/>
        <v>8917346291.25</v>
      </c>
    </row>
    <row r="68" spans="1:30" ht="12" thickTop="1">
      <c r="A68" s="41" t="s">
        <v>108</v>
      </c>
      <c r="B68" s="41"/>
      <c r="C68" s="134">
        <f>C70*0.005</f>
        <v>540707.55200000003</v>
      </c>
      <c r="D68" s="134"/>
      <c r="E68" s="134">
        <f>E70*0.005</f>
        <v>112952.448</v>
      </c>
      <c r="F68" s="134">
        <f>G77*0.0075</f>
        <v>33646583.786249995</v>
      </c>
      <c r="G68" s="156">
        <f>'Program Totals'!D11*0.0075</f>
        <v>34041792.75</v>
      </c>
      <c r="H68" s="156"/>
      <c r="I68" s="42">
        <v>0</v>
      </c>
      <c r="J68" s="76"/>
      <c r="K68" s="134">
        <f>K70*0.005</f>
        <v>1314747</v>
      </c>
      <c r="L68" s="76"/>
      <c r="M68" s="42">
        <f>'Program Totals'!D17*0.005</f>
        <v>3099780</v>
      </c>
      <c r="N68" s="76"/>
      <c r="O68" s="42">
        <v>0</v>
      </c>
      <c r="P68" s="76"/>
      <c r="Q68" s="42">
        <v>0</v>
      </c>
      <c r="R68" s="76"/>
      <c r="S68" s="42">
        <v>0</v>
      </c>
      <c r="T68" s="76"/>
      <c r="U68" s="76">
        <f>(U70+W70)*0.01</f>
        <v>25070000</v>
      </c>
      <c r="V68" s="76"/>
      <c r="W68" s="42">
        <v>0</v>
      </c>
      <c r="X68" s="76"/>
      <c r="Y68" s="42">
        <f>AA75*0.0075</f>
        <v>5218500</v>
      </c>
      <c r="Z68" s="42">
        <v>0</v>
      </c>
      <c r="AA68" s="42">
        <f>Y68</f>
        <v>5218500</v>
      </c>
      <c r="AB68" s="74">
        <f t="shared" si="325"/>
        <v>69398479.75</v>
      </c>
    </row>
    <row r="69" spans="1:30">
      <c r="A69" s="41"/>
      <c r="B69" s="41"/>
      <c r="C69" s="42">
        <v>0</v>
      </c>
      <c r="D69" s="76"/>
      <c r="E69" s="42">
        <v>0</v>
      </c>
      <c r="F69" s="76"/>
      <c r="G69" s="156">
        <v>0</v>
      </c>
      <c r="H69" s="156"/>
      <c r="I69" s="42">
        <v>0</v>
      </c>
      <c r="J69" s="76"/>
      <c r="K69" s="42">
        <v>0</v>
      </c>
      <c r="L69" s="76"/>
      <c r="M69" s="42">
        <v>0</v>
      </c>
      <c r="N69" s="76"/>
      <c r="O69" s="42">
        <v>0</v>
      </c>
      <c r="P69" s="76"/>
      <c r="Q69" s="42">
        <v>0</v>
      </c>
      <c r="R69" s="76"/>
      <c r="S69" s="42">
        <v>0</v>
      </c>
      <c r="T69" s="76"/>
      <c r="U69" s="42">
        <v>0</v>
      </c>
      <c r="V69" s="76"/>
      <c r="W69" s="42">
        <v>0</v>
      </c>
      <c r="X69" s="76"/>
      <c r="Y69" s="42">
        <v>0</v>
      </c>
      <c r="Z69" s="42">
        <v>0</v>
      </c>
      <c r="AA69" s="42">
        <v>0</v>
      </c>
      <c r="AB69" s="74">
        <f>SUM(C69:Z69)</f>
        <v>0</v>
      </c>
    </row>
    <row r="70" spans="1:30" ht="12" thickBot="1">
      <c r="A70" s="135" t="s">
        <v>107</v>
      </c>
      <c r="B70" s="135"/>
      <c r="C70" s="126">
        <f>'Program Totals'!D9</f>
        <v>108141510.40000001</v>
      </c>
      <c r="D70" s="126"/>
      <c r="E70" s="126">
        <f>'Program Totals'!D10</f>
        <v>22590489.600000001</v>
      </c>
      <c r="F70" s="126"/>
      <c r="G70" s="126">
        <f>G77+G80+H79</f>
        <v>4944908078.3721342</v>
      </c>
      <c r="H70" s="155"/>
      <c r="I70" s="126">
        <f>'Program Totals'!D12</f>
        <v>22694528.5</v>
      </c>
      <c r="J70" s="126"/>
      <c r="K70" s="126">
        <f>'Program Totals'!D15</f>
        <v>262949400</v>
      </c>
      <c r="L70" s="126"/>
      <c r="M70" s="126">
        <f>M77+I79</f>
        <v>630121512.12786591</v>
      </c>
      <c r="N70" s="126"/>
      <c r="O70" s="126">
        <f>'Program Totals'!D23-O74</f>
        <v>10539252</v>
      </c>
      <c r="P70" s="126"/>
      <c r="Q70" s="126">
        <f>'Program Totals'!D21</f>
        <v>20000000</v>
      </c>
      <c r="R70" s="126"/>
      <c r="S70" s="126">
        <f>'Program Totals'!D19</f>
        <v>30000000</v>
      </c>
      <c r="T70" s="126"/>
      <c r="U70" s="126">
        <f>'Program Totals'!D37</f>
        <v>2435550500</v>
      </c>
      <c r="V70" s="126"/>
      <c r="W70" s="126">
        <f>'Program Totals'!D38</f>
        <v>71449500</v>
      </c>
      <c r="X70" s="126"/>
      <c r="Y70" s="126">
        <f>'Program Totals'!D40-Z67</f>
        <v>337300000</v>
      </c>
      <c r="Z70" s="126">
        <f>Z67</f>
        <v>90500000</v>
      </c>
      <c r="AA70" s="126">
        <f t="shared" ref="AA70" si="566">SUM(Y70+Z70)</f>
        <v>427800000</v>
      </c>
      <c r="AB70" s="136">
        <f t="shared" ref="AB70:AB75" si="567">SUM(C70+E70+G70+I70+K70+M70+O70+Q70+S70+U70+W70+AA70)</f>
        <v>8986744771</v>
      </c>
      <c r="AC70" s="19">
        <f>AB67+AB68</f>
        <v>8986744771</v>
      </c>
    </row>
    <row r="71" spans="1:30" s="72" customFormat="1" ht="12" thickTop="1">
      <c r="A71" s="125" t="s">
        <v>160</v>
      </c>
      <c r="B71" s="125"/>
      <c r="C71" s="75">
        <v>0</v>
      </c>
      <c r="D71" s="75"/>
      <c r="E71" s="75">
        <v>0</v>
      </c>
      <c r="F71" s="75"/>
      <c r="G71" s="132">
        <v>0</v>
      </c>
      <c r="H71" s="132"/>
      <c r="I71" s="75">
        <v>0</v>
      </c>
      <c r="J71" s="75"/>
      <c r="K71" s="75">
        <v>0</v>
      </c>
      <c r="L71" s="75"/>
      <c r="M71" s="75">
        <v>0</v>
      </c>
      <c r="N71" s="75"/>
      <c r="O71" s="75">
        <v>0</v>
      </c>
      <c r="P71" s="75"/>
      <c r="Q71" s="75">
        <v>0</v>
      </c>
      <c r="R71" s="75"/>
      <c r="S71" s="75">
        <v>0</v>
      </c>
      <c r="T71" s="75"/>
      <c r="U71" s="75">
        <v>0</v>
      </c>
      <c r="V71" s="75"/>
      <c r="W71" s="75">
        <v>0</v>
      </c>
      <c r="X71" s="75"/>
      <c r="Y71" s="75">
        <f>'Program Totals'!D43</f>
        <v>268000000</v>
      </c>
      <c r="Z71" s="75">
        <v>0</v>
      </c>
      <c r="AA71" s="75">
        <f>Y71</f>
        <v>268000000</v>
      </c>
      <c r="AB71" s="74">
        <f t="shared" si="567"/>
        <v>268000000</v>
      </c>
    </row>
    <row r="72" spans="1:30">
      <c r="A72" s="123" t="s">
        <v>109</v>
      </c>
      <c r="B72" s="123"/>
      <c r="C72" s="40">
        <v>0</v>
      </c>
      <c r="D72" s="75"/>
      <c r="E72" s="40">
        <v>0</v>
      </c>
      <c r="F72" s="75"/>
      <c r="G72" s="132">
        <f>'Program Totals'!D13</f>
        <v>30000000</v>
      </c>
      <c r="H72" s="132"/>
      <c r="I72" s="40">
        <v>0</v>
      </c>
      <c r="J72" s="75"/>
      <c r="K72" s="40">
        <v>0</v>
      </c>
      <c r="L72" s="75"/>
      <c r="M72" s="40">
        <v>0</v>
      </c>
      <c r="N72" s="75"/>
      <c r="O72" s="40">
        <v>0</v>
      </c>
      <c r="P72" s="75"/>
      <c r="Q72" s="40">
        <v>0</v>
      </c>
      <c r="R72" s="75"/>
      <c r="S72" s="40">
        <v>0</v>
      </c>
      <c r="T72" s="75"/>
      <c r="U72" s="40">
        <v>0</v>
      </c>
      <c r="V72" s="75"/>
      <c r="W72" s="40">
        <v>0</v>
      </c>
      <c r="X72" s="75"/>
      <c r="Y72" s="40">
        <v>0</v>
      </c>
      <c r="Z72" s="40">
        <v>0</v>
      </c>
      <c r="AA72" s="40">
        <v>0</v>
      </c>
      <c r="AB72" s="74">
        <f t="shared" si="567"/>
        <v>30000000</v>
      </c>
    </row>
    <row r="73" spans="1:30">
      <c r="A73" s="19" t="s">
        <v>158</v>
      </c>
      <c r="C73" s="19">
        <v>0</v>
      </c>
      <c r="E73" s="19">
        <v>0</v>
      </c>
      <c r="G73" s="157">
        <v>0</v>
      </c>
      <c r="H73" s="157"/>
      <c r="I73" s="19">
        <v>0</v>
      </c>
      <c r="K73" s="19">
        <v>0</v>
      </c>
      <c r="M73" s="19">
        <v>0</v>
      </c>
      <c r="O73" s="19">
        <v>0</v>
      </c>
      <c r="Q73" s="19">
        <v>0</v>
      </c>
      <c r="S73" s="19">
        <v>5000000</v>
      </c>
      <c r="U73" s="19">
        <v>0</v>
      </c>
      <c r="W73" s="19">
        <v>0</v>
      </c>
      <c r="Y73" s="19">
        <v>0</v>
      </c>
      <c r="Z73" s="19">
        <v>0</v>
      </c>
      <c r="AA73" s="19">
        <v>0</v>
      </c>
      <c r="AB73" s="74">
        <f t="shared" si="567"/>
        <v>5000000</v>
      </c>
    </row>
    <row r="74" spans="1:30">
      <c r="A74" s="19" t="s">
        <v>159</v>
      </c>
      <c r="C74" s="19">
        <v>0</v>
      </c>
      <c r="E74" s="19">
        <v>0</v>
      </c>
      <c r="G74" s="157">
        <v>0</v>
      </c>
      <c r="H74" s="157"/>
      <c r="I74" s="19">
        <v>0</v>
      </c>
      <c r="K74" s="19">
        <v>0</v>
      </c>
      <c r="M74" s="19">
        <v>0</v>
      </c>
      <c r="O74" s="19">
        <f>'Program Totals'!D22</f>
        <v>1859868</v>
      </c>
      <c r="Q74" s="19">
        <v>0</v>
      </c>
      <c r="S74" s="19">
        <v>0</v>
      </c>
      <c r="U74" s="19">
        <v>0</v>
      </c>
      <c r="W74" s="19">
        <v>0</v>
      </c>
      <c r="Y74" s="19">
        <v>0</v>
      </c>
      <c r="Z74" s="19">
        <v>0</v>
      </c>
      <c r="AA74" s="19">
        <v>0</v>
      </c>
      <c r="AB74" s="74">
        <f t="shared" si="567"/>
        <v>1859868</v>
      </c>
    </row>
    <row r="75" spans="1:30" ht="15" customHeight="1" thickBot="1">
      <c r="A75" s="130" t="s">
        <v>110</v>
      </c>
      <c r="B75" s="130"/>
      <c r="C75" s="130">
        <f>C70+C71+C72+C73+C74</f>
        <v>108141510.40000001</v>
      </c>
      <c r="D75" s="130"/>
      <c r="E75" s="130">
        <f t="shared" ref="E75:AA75" si="568">E70+E71+E72+E73+E74</f>
        <v>22590489.600000001</v>
      </c>
      <c r="F75" s="130"/>
      <c r="G75" s="130">
        <f t="shared" si="568"/>
        <v>4974908078.3721342</v>
      </c>
      <c r="H75" s="158"/>
      <c r="I75" s="130">
        <f t="shared" si="568"/>
        <v>22694528.5</v>
      </c>
      <c r="J75" s="130"/>
      <c r="K75" s="130">
        <f t="shared" si="568"/>
        <v>262949400</v>
      </c>
      <c r="L75" s="130"/>
      <c r="M75" s="130">
        <f t="shared" si="568"/>
        <v>630121512.12786591</v>
      </c>
      <c r="N75" s="130"/>
      <c r="O75" s="130">
        <f t="shared" si="568"/>
        <v>12399120</v>
      </c>
      <c r="P75" s="130"/>
      <c r="Q75" s="130">
        <f t="shared" si="568"/>
        <v>20000000</v>
      </c>
      <c r="R75" s="130"/>
      <c r="S75" s="130">
        <f t="shared" si="568"/>
        <v>35000000</v>
      </c>
      <c r="T75" s="130"/>
      <c r="U75" s="130">
        <f t="shared" si="568"/>
        <v>2435550500</v>
      </c>
      <c r="V75" s="130"/>
      <c r="W75" s="130">
        <f t="shared" si="568"/>
        <v>71449500</v>
      </c>
      <c r="X75" s="130"/>
      <c r="Y75" s="130">
        <f t="shared" si="568"/>
        <v>605300000</v>
      </c>
      <c r="Z75" s="130">
        <f t="shared" si="568"/>
        <v>90500000</v>
      </c>
      <c r="AA75" s="130">
        <f t="shared" si="568"/>
        <v>695800000</v>
      </c>
      <c r="AB75" s="136">
        <f t="shared" si="567"/>
        <v>9291604639</v>
      </c>
      <c r="AC75" s="19">
        <f>'Program Totals'!D61</f>
        <v>9291604639</v>
      </c>
      <c r="AD75" s="19">
        <f>AC70+AB71+AB72+AB73+AB74</f>
        <v>9291604639</v>
      </c>
    </row>
    <row r="76" spans="1:30" ht="12" hidden="1" thickTop="1">
      <c r="W76" s="72"/>
      <c r="AC76" s="19">
        <f>AB70+AB71+AB72+AB73+AB74</f>
        <v>9291604639</v>
      </c>
    </row>
    <row r="77" spans="1:30" hidden="1">
      <c r="G77" s="19">
        <f>'Program Totals'!D14</f>
        <v>4486211171.5</v>
      </c>
      <c r="M77" s="19">
        <f>'Program Totals'!D18</f>
        <v>552556880</v>
      </c>
      <c r="Y77" s="100"/>
    </row>
    <row r="78" spans="1:30" hidden="1">
      <c r="A78" s="19" t="s">
        <v>111</v>
      </c>
      <c r="G78" s="72"/>
    </row>
    <row r="79" spans="1:30" hidden="1">
      <c r="G79" s="157">
        <f>'Program Totals'!D46</f>
        <v>272297082.5</v>
      </c>
      <c r="H79" s="157">
        <f>G79*0.715147032</f>
        <v>194732450.37213412</v>
      </c>
      <c r="I79" s="19">
        <f>G79-H79</f>
        <v>77564632.127865881</v>
      </c>
    </row>
    <row r="80" spans="1:30" hidden="1">
      <c r="E80" s="72"/>
      <c r="G80" s="72">
        <f>'Program Totals'!D47</f>
        <v>263964456.49999997</v>
      </c>
      <c r="I80" s="72">
        <f t="shared" ref="I80:AB80" si="569">SUM(I10:I66)-I67</f>
        <v>0</v>
      </c>
      <c r="K80" s="72">
        <f t="shared" si="569"/>
        <v>0</v>
      </c>
      <c r="M80" s="72">
        <f t="shared" si="569"/>
        <v>0</v>
      </c>
      <c r="O80" s="72">
        <f t="shared" si="569"/>
        <v>0</v>
      </c>
      <c r="Q80" s="72">
        <f t="shared" si="569"/>
        <v>0</v>
      </c>
      <c r="S80" s="72">
        <f t="shared" si="569"/>
        <v>0</v>
      </c>
      <c r="U80" s="72">
        <f t="shared" si="569"/>
        <v>0</v>
      </c>
      <c r="W80" s="72">
        <f t="shared" si="569"/>
        <v>0</v>
      </c>
      <c r="Y80" s="72">
        <f t="shared" si="569"/>
        <v>0</v>
      </c>
      <c r="Z80" s="72">
        <f t="shared" si="569"/>
        <v>0</v>
      </c>
      <c r="AA80" s="72">
        <f t="shared" si="569"/>
        <v>0</v>
      </c>
      <c r="AB80" s="72">
        <f t="shared" si="569"/>
        <v>0</v>
      </c>
    </row>
    <row r="81" spans="7:27" hidden="1"/>
    <row r="82" spans="7:27" hidden="1">
      <c r="G82" s="19">
        <f>G75+I75+M75+O75+Q75+S75</f>
        <v>5695123239</v>
      </c>
    </row>
    <row r="83" spans="7:27" hidden="1">
      <c r="G83" s="19">
        <f>'Program Totals'!D11+'Program Totals'!D17+'Program Totals'!D45</f>
        <v>5695123239</v>
      </c>
    </row>
    <row r="84" spans="7:27" ht="12" thickTop="1"/>
    <row r="88" spans="7:27">
      <c r="Y88" s="43"/>
      <c r="Z88" s="43"/>
      <c r="AA88" s="43"/>
    </row>
    <row r="94" spans="7:27">
      <c r="Y94" s="43"/>
      <c r="Z94" s="43"/>
      <c r="AA94" s="43"/>
    </row>
  </sheetData>
  <mergeCells count="8">
    <mergeCell ref="U7:W7"/>
    <mergeCell ref="U6:W6"/>
    <mergeCell ref="A1:AB1"/>
    <mergeCell ref="A2:AB2"/>
    <mergeCell ref="A3:AB3"/>
    <mergeCell ref="A4:AB4"/>
    <mergeCell ref="C5:AB5"/>
    <mergeCell ref="Y6:Z6"/>
  </mergeCells>
  <pageMargins left="0.7" right="0.7" top="0.75" bottom="0.75" header="0.3" footer="0.3"/>
  <pageSetup orientation="portrait" horizontalDpi="4294967295" verticalDpi="429496729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topLeftCell="A58" workbookViewId="0">
      <selection activeCell="A3" sqref="A3:XFD3"/>
    </sheetView>
  </sheetViews>
  <sheetFormatPr baseColWidth="10" defaultColWidth="8.83203125" defaultRowHeight="14" x14ac:dyDescent="0"/>
  <cols>
    <col min="1" max="1" width="29.33203125" style="72" customWidth="1"/>
    <col min="2" max="2" width="13.33203125" customWidth="1"/>
    <col min="3" max="3" width="16.6640625" customWidth="1"/>
    <col min="4" max="4" width="15.83203125" customWidth="1"/>
    <col min="5" max="5" width="17.1640625" customWidth="1"/>
    <col min="6" max="6" width="14.6640625" customWidth="1"/>
    <col min="7" max="7" width="15.5" customWidth="1"/>
    <col min="8" max="8" width="14.6640625" customWidth="1"/>
  </cols>
  <sheetData>
    <row r="1" spans="1:8">
      <c r="A1"/>
      <c r="B1" s="102"/>
      <c r="C1" s="102"/>
      <c r="D1" s="102"/>
      <c r="E1" s="102"/>
      <c r="F1" s="102"/>
      <c r="G1" s="102"/>
      <c r="H1" s="102"/>
    </row>
    <row r="2" spans="1:8">
      <c r="A2"/>
      <c r="B2" s="102"/>
      <c r="C2" s="102"/>
      <c r="D2" s="102"/>
      <c r="E2" s="102"/>
      <c r="F2" s="102"/>
      <c r="G2" s="102"/>
      <c r="H2" s="102"/>
    </row>
    <row r="3" spans="1:8" ht="18">
      <c r="A3"/>
      <c r="B3" s="143" t="s">
        <v>184</v>
      </c>
      <c r="C3" s="142"/>
      <c r="D3" s="102"/>
      <c r="E3" s="102"/>
      <c r="F3" s="102"/>
      <c r="G3" s="102"/>
      <c r="H3" s="102"/>
    </row>
    <row r="4" spans="1:8">
      <c r="B4" s="27"/>
      <c r="C4" s="102"/>
      <c r="D4" s="102"/>
      <c r="E4" s="102"/>
      <c r="F4" s="102"/>
      <c r="G4" s="102"/>
      <c r="H4" s="102"/>
    </row>
    <row r="5" spans="1:8">
      <c r="A5" s="27"/>
      <c r="B5" s="102"/>
      <c r="C5" s="102"/>
      <c r="D5" s="102"/>
      <c r="E5" s="102"/>
      <c r="F5" s="102"/>
      <c r="G5" s="102"/>
      <c r="H5" s="102"/>
    </row>
    <row r="6" spans="1:8">
      <c r="B6" s="102"/>
      <c r="C6" s="102"/>
      <c r="D6" s="102"/>
      <c r="E6" s="102"/>
      <c r="F6" s="102"/>
      <c r="G6" s="102"/>
      <c r="H6" s="102"/>
    </row>
    <row r="7" spans="1:8">
      <c r="A7" s="27"/>
      <c r="B7" s="102"/>
      <c r="C7" s="102"/>
      <c r="D7" s="102"/>
      <c r="E7" s="102"/>
      <c r="F7" s="102"/>
      <c r="G7" s="102"/>
      <c r="H7" s="102"/>
    </row>
    <row r="8" spans="1:8">
      <c r="A8" s="32"/>
      <c r="B8" s="102"/>
      <c r="C8" s="102"/>
      <c r="D8" s="102"/>
      <c r="E8" s="102"/>
      <c r="F8" s="102"/>
      <c r="G8" s="102"/>
      <c r="H8" s="102"/>
    </row>
    <row r="9" spans="1:8" ht="15" thickBot="1">
      <c r="A9" s="139" t="s">
        <v>35</v>
      </c>
      <c r="B9" s="140" t="s">
        <v>163</v>
      </c>
      <c r="C9" s="140" t="s">
        <v>164</v>
      </c>
      <c r="D9" s="140" t="s">
        <v>165</v>
      </c>
      <c r="E9" s="140" t="s">
        <v>166</v>
      </c>
      <c r="F9" s="140" t="s">
        <v>167</v>
      </c>
      <c r="G9" s="140" t="s">
        <v>168</v>
      </c>
      <c r="H9" s="140" t="s">
        <v>169</v>
      </c>
    </row>
    <row r="10" spans="1:8">
      <c r="A10" s="144" t="s">
        <v>119</v>
      </c>
      <c r="B10" s="141">
        <v>52838746.309576377</v>
      </c>
      <c r="C10" s="141">
        <v>53056244.294747703</v>
      </c>
      <c r="D10" s="141">
        <v>53144259.822080992</v>
      </c>
      <c r="E10" s="141">
        <v>54163184.990918815</v>
      </c>
      <c r="F10" s="141">
        <v>55141601.83681751</v>
      </c>
      <c r="G10" s="141">
        <v>56205408.12268576</v>
      </c>
      <c r="H10" s="141">
        <v>57270499.204164356</v>
      </c>
    </row>
    <row r="11" spans="1:8">
      <c r="A11" s="144" t="s">
        <v>36</v>
      </c>
      <c r="B11" s="141">
        <v>44509181.111939318</v>
      </c>
      <c r="C11" s="141">
        <v>46379257.30143103</v>
      </c>
      <c r="D11" s="141">
        <v>46749765.747379795</v>
      </c>
      <c r="E11" s="141">
        <v>47691306.104035944</v>
      </c>
      <c r="F11" s="141">
        <v>48561173.154461592</v>
      </c>
      <c r="G11" s="141">
        <v>49543483.122313991</v>
      </c>
      <c r="H11" s="141">
        <v>50526982.256926849</v>
      </c>
    </row>
    <row r="12" spans="1:8">
      <c r="A12" s="144" t="s">
        <v>37</v>
      </c>
      <c r="B12" s="141">
        <v>825834.44998067222</v>
      </c>
      <c r="C12" s="141">
        <v>826013.16582843661</v>
      </c>
      <c r="D12" s="141">
        <v>826228.36280690227</v>
      </c>
      <c r="E12" s="141">
        <v>833343.4259763055</v>
      </c>
      <c r="F12" s="141">
        <v>840495.86241659743</v>
      </c>
      <c r="G12" s="141">
        <v>847930.98093973729</v>
      </c>
      <c r="H12" s="141">
        <v>855375.22065085475</v>
      </c>
    </row>
    <row r="13" spans="1:8">
      <c r="A13" s="144" t="s">
        <v>38</v>
      </c>
      <c r="B13" s="141">
        <v>107526626.92416336</v>
      </c>
      <c r="C13" s="141">
        <v>108160190.05200696</v>
      </c>
      <c r="D13" s="141">
        <v>108343582.38289608</v>
      </c>
      <c r="E13" s="141">
        <v>110636693.73147587</v>
      </c>
      <c r="F13" s="141">
        <v>113015176.0760431</v>
      </c>
      <c r="G13" s="141">
        <v>115447846.2766427</v>
      </c>
      <c r="H13" s="141">
        <v>117849168.4404365</v>
      </c>
    </row>
    <row r="14" spans="1:8">
      <c r="A14" s="144" t="s">
        <v>39</v>
      </c>
      <c r="B14" s="141">
        <v>30744550.881246865</v>
      </c>
      <c r="C14" s="141">
        <v>30865993.565515801</v>
      </c>
      <c r="D14" s="141">
        <v>30922313.27242912</v>
      </c>
      <c r="E14" s="141">
        <v>31566582.928929273</v>
      </c>
      <c r="F14" s="141">
        <v>32152451.494768109</v>
      </c>
      <c r="G14" s="141">
        <v>32824428.20926553</v>
      </c>
      <c r="H14" s="141">
        <v>33497217.70969544</v>
      </c>
    </row>
    <row r="15" spans="1:8">
      <c r="A15" s="144" t="s">
        <v>120</v>
      </c>
      <c r="B15" s="141">
        <v>1253984979.867434</v>
      </c>
      <c r="C15" s="141">
        <v>1263344000.8479643</v>
      </c>
      <c r="D15" s="141">
        <v>1270230558.5781779</v>
      </c>
      <c r="E15" s="141">
        <v>1297177539.0436523</v>
      </c>
      <c r="F15" s="141">
        <v>1324199204.1789398</v>
      </c>
      <c r="G15" s="141">
        <v>1352567452.7713432</v>
      </c>
      <c r="H15" s="141">
        <v>1380762946.80514</v>
      </c>
    </row>
    <row r="16" spans="1:8">
      <c r="A16" s="144" t="s">
        <v>40</v>
      </c>
      <c r="B16" s="141">
        <v>111531890.7196829</v>
      </c>
      <c r="C16" s="141">
        <v>112249276.0614689</v>
      </c>
      <c r="D16" s="141">
        <v>112582056.65987954</v>
      </c>
      <c r="E16" s="141">
        <v>114975438.97599021</v>
      </c>
      <c r="F16" s="141">
        <v>117682525.79745418</v>
      </c>
      <c r="G16" s="141">
        <v>120202506.71493855</v>
      </c>
      <c r="H16" s="141">
        <v>122712971.50345129</v>
      </c>
    </row>
    <row r="17" spans="1:8">
      <c r="A17" s="144" t="s">
        <v>121</v>
      </c>
      <c r="B17" s="141">
        <v>157663158.95948723</v>
      </c>
      <c r="C17" s="141">
        <v>133174333.19794536</v>
      </c>
      <c r="D17" s="141">
        <v>134165105.08664294</v>
      </c>
      <c r="E17" s="141">
        <v>136944322.69222462</v>
      </c>
      <c r="F17" s="141">
        <v>140176801.23890713</v>
      </c>
      <c r="G17" s="141">
        <v>143102943.52585134</v>
      </c>
      <c r="H17" s="141">
        <v>146019904.05972749</v>
      </c>
    </row>
    <row r="18" spans="1:8">
      <c r="A18" s="144" t="s">
        <v>41</v>
      </c>
      <c r="B18" s="141">
        <v>24593443.547752906</v>
      </c>
      <c r="C18" s="141">
        <v>19701601.08335413</v>
      </c>
      <c r="D18" s="141">
        <v>19720993.651777964</v>
      </c>
      <c r="E18" s="141">
        <v>20115593.652963452</v>
      </c>
      <c r="F18" s="141">
        <v>20592704.123229664</v>
      </c>
      <c r="G18" s="141">
        <v>21006695.646263883</v>
      </c>
      <c r="H18" s="141">
        <v>21421187.893239405</v>
      </c>
    </row>
    <row r="19" spans="1:8">
      <c r="A19" s="144" t="s">
        <v>42</v>
      </c>
      <c r="B19" s="141">
        <v>168198179.36634091</v>
      </c>
      <c r="C19" s="141">
        <v>177974452.13359243</v>
      </c>
      <c r="D19" s="141">
        <v>180710617.64106476</v>
      </c>
      <c r="E19" s="141">
        <v>184392153.57657197</v>
      </c>
      <c r="F19" s="141">
        <v>187916018.44410217</v>
      </c>
      <c r="G19" s="141">
        <v>191829413.67027178</v>
      </c>
      <c r="H19" s="141">
        <v>195678927.5682168</v>
      </c>
    </row>
    <row r="20" spans="1:8">
      <c r="A20" s="144" t="s">
        <v>43</v>
      </c>
      <c r="B20" s="141">
        <v>360848078.34133577</v>
      </c>
      <c r="C20" s="141">
        <v>363235893.59976244</v>
      </c>
      <c r="D20" s="141">
        <v>364420371.22161031</v>
      </c>
      <c r="E20" s="141">
        <v>372238410.16246206</v>
      </c>
      <c r="F20" s="141">
        <v>379236519.53895432</v>
      </c>
      <c r="G20" s="141">
        <v>387405948.63922048</v>
      </c>
      <c r="H20" s="141">
        <v>395568028.41573614</v>
      </c>
    </row>
    <row r="21" spans="1:8">
      <c r="A21" s="144" t="s">
        <v>44</v>
      </c>
      <c r="B21" s="141">
        <v>174055050.96458936</v>
      </c>
      <c r="C21" s="141">
        <v>175256775.96545306</v>
      </c>
      <c r="D21" s="141">
        <v>176187510.89373237</v>
      </c>
      <c r="E21" s="141">
        <v>179896262.8714695</v>
      </c>
      <c r="F21" s="141">
        <v>183817174.98643452</v>
      </c>
      <c r="G21" s="141">
        <v>187742864.07247469</v>
      </c>
      <c r="H21" s="141">
        <v>191627955.85713208</v>
      </c>
    </row>
    <row r="22" spans="1:8">
      <c r="A22" s="144" t="s">
        <v>45</v>
      </c>
      <c r="B22" s="141">
        <v>1353129.7784506138</v>
      </c>
      <c r="C22" s="141">
        <v>1353806.3948297384</v>
      </c>
      <c r="D22" s="141">
        <v>1354621.1283542095</v>
      </c>
      <c r="E22" s="141">
        <v>1373261.0020739255</v>
      </c>
      <c r="F22" s="141">
        <v>1391998.7563684215</v>
      </c>
      <c r="G22" s="141">
        <v>1411477.1210949346</v>
      </c>
      <c r="H22" s="141">
        <v>1430979.3261169051</v>
      </c>
    </row>
    <row r="23" spans="1:8">
      <c r="A23" s="144" t="s">
        <v>46</v>
      </c>
      <c r="B23" s="141">
        <v>41053995.820903264</v>
      </c>
      <c r="C23" s="141">
        <v>41321584.027753703</v>
      </c>
      <c r="D23" s="141">
        <v>41380969.841576546</v>
      </c>
      <c r="E23" s="141">
        <v>42264251.460190997</v>
      </c>
      <c r="F23" s="141">
        <v>43527870.054743879</v>
      </c>
      <c r="G23" s="141">
        <v>44472551.371944308</v>
      </c>
      <c r="H23" s="141">
        <v>45404662.992633246</v>
      </c>
    </row>
    <row r="24" spans="1:8">
      <c r="A24" s="144" t="s">
        <v>47</v>
      </c>
      <c r="B24" s="141">
        <v>23242375.640375413</v>
      </c>
      <c r="C24" s="141">
        <v>23329560.401081339</v>
      </c>
      <c r="D24" s="141">
        <v>23359579.526814017</v>
      </c>
      <c r="E24" s="141">
        <v>23818790.160298135</v>
      </c>
      <c r="F24" s="141">
        <v>24229819.721111923</v>
      </c>
      <c r="G24" s="141">
        <v>24708642.64309974</v>
      </c>
      <c r="H24" s="141">
        <v>25188046.445247862</v>
      </c>
    </row>
    <row r="25" spans="1:8">
      <c r="A25" s="144" t="s">
        <v>122</v>
      </c>
      <c r="B25" s="141">
        <v>537023177.96849132</v>
      </c>
      <c r="C25" s="141">
        <v>541325374.13554466</v>
      </c>
      <c r="D25" s="141">
        <v>545530004.73040366</v>
      </c>
      <c r="E25" s="141">
        <v>556896863.57681143</v>
      </c>
      <c r="F25" s="141">
        <v>568248022.57694077</v>
      </c>
      <c r="G25" s="141">
        <v>580124475.91700172</v>
      </c>
      <c r="H25" s="141">
        <v>592015241.22413921</v>
      </c>
    </row>
    <row r="26" spans="1:8">
      <c r="A26" s="144" t="s">
        <v>48</v>
      </c>
      <c r="B26" s="141">
        <v>87621924.115436286</v>
      </c>
      <c r="C26" s="141">
        <v>88137068.724438891</v>
      </c>
      <c r="D26" s="141">
        <v>88298362.875221729</v>
      </c>
      <c r="E26" s="141">
        <v>90174664.199306324</v>
      </c>
      <c r="F26" s="141">
        <v>92531208.890327051</v>
      </c>
      <c r="G26" s="141">
        <v>94501529.591873452</v>
      </c>
      <c r="H26" s="141">
        <v>96474230.71697928</v>
      </c>
    </row>
    <row r="27" spans="1:8">
      <c r="A27" s="144" t="s">
        <v>49</v>
      </c>
      <c r="B27" s="141">
        <v>38625979.515492029</v>
      </c>
      <c r="C27" s="141">
        <v>38835429.574355096</v>
      </c>
      <c r="D27" s="141">
        <v>38888713.22120405</v>
      </c>
      <c r="E27" s="141">
        <v>39707456.796561599</v>
      </c>
      <c r="F27" s="141">
        <v>41162826.701594733</v>
      </c>
      <c r="G27" s="141">
        <v>42031362.155229464</v>
      </c>
      <c r="H27" s="141">
        <v>42900948.449068531</v>
      </c>
    </row>
    <row r="28" spans="1:8">
      <c r="A28" s="144" t="s">
        <v>50</v>
      </c>
      <c r="B28" s="141">
        <v>34721200.398984671</v>
      </c>
      <c r="C28" s="141">
        <v>34879967.32134454</v>
      </c>
      <c r="D28" s="141">
        <v>34927077.088250615</v>
      </c>
      <c r="E28" s="141">
        <v>35657772.536378808</v>
      </c>
      <c r="F28" s="141">
        <v>36511455.682704143</v>
      </c>
      <c r="G28" s="141">
        <v>37277454.021500476</v>
      </c>
      <c r="H28" s="141">
        <v>38044380.457941763</v>
      </c>
    </row>
    <row r="29" spans="1:8">
      <c r="A29" s="144" t="s">
        <v>51</v>
      </c>
      <c r="B29" s="141">
        <v>51536662.564613424</v>
      </c>
      <c r="C29" s="141">
        <v>51759175.556505427</v>
      </c>
      <c r="D29" s="141">
        <v>51834099.524255604</v>
      </c>
      <c r="E29" s="141">
        <v>52897683.687615231</v>
      </c>
      <c r="F29" s="141">
        <v>53979391.884534411</v>
      </c>
      <c r="G29" s="141">
        <v>55091063.243069574</v>
      </c>
      <c r="H29" s="141">
        <v>56204079.80646155</v>
      </c>
    </row>
    <row r="30" spans="1:8">
      <c r="A30" s="144" t="s">
        <v>52</v>
      </c>
      <c r="B30" s="141">
        <v>59629607.262254879</v>
      </c>
      <c r="C30" s="141">
        <v>59952674.209669381</v>
      </c>
      <c r="D30" s="141">
        <v>60111782.876221195</v>
      </c>
      <c r="E30" s="141">
        <v>61384893.752679802</v>
      </c>
      <c r="F30" s="141">
        <v>62490560.067041241</v>
      </c>
      <c r="G30" s="141">
        <v>63823216.066022262</v>
      </c>
      <c r="H30" s="141">
        <v>65151722.655232295</v>
      </c>
    </row>
    <row r="31" spans="1:8">
      <c r="A31" s="144" t="s">
        <v>53</v>
      </c>
      <c r="B31" s="141">
        <v>30348164.891637016</v>
      </c>
      <c r="C31" s="141">
        <v>30529097.18549427</v>
      </c>
      <c r="D31" s="141">
        <v>30675575.353807285</v>
      </c>
      <c r="E31" s="141">
        <v>31292446.932597049</v>
      </c>
      <c r="F31" s="141">
        <v>32049325.122853339</v>
      </c>
      <c r="G31" s="141">
        <v>32696742.415660899</v>
      </c>
      <c r="H31" s="141">
        <v>33344943.339681637</v>
      </c>
    </row>
    <row r="32" spans="1:8">
      <c r="A32" s="144" t="s">
        <v>54</v>
      </c>
      <c r="B32" s="141">
        <v>230324428.92788523</v>
      </c>
      <c r="C32" s="141">
        <v>197207071.97390661</v>
      </c>
      <c r="D32" s="141">
        <v>198267006.49716806</v>
      </c>
      <c r="E32" s="141">
        <v>202411843.03939506</v>
      </c>
      <c r="F32" s="141">
        <v>206081597.40489733</v>
      </c>
      <c r="G32" s="141">
        <v>210402612.83498797</v>
      </c>
      <c r="H32" s="141">
        <v>214728839.29992723</v>
      </c>
    </row>
    <row r="33" spans="1:8">
      <c r="A33" s="144" t="s">
        <v>55</v>
      </c>
      <c r="B33" s="141">
        <v>339311760.67416304</v>
      </c>
      <c r="C33" s="141">
        <v>292565244.88625824</v>
      </c>
      <c r="D33" s="141">
        <v>294889555.06483507</v>
      </c>
      <c r="E33" s="141">
        <v>301011209.64677376</v>
      </c>
      <c r="F33" s="141">
        <v>306690040.63908005</v>
      </c>
      <c r="G33" s="141">
        <v>313077917.21936625</v>
      </c>
      <c r="H33" s="141">
        <v>319472808.55575651</v>
      </c>
    </row>
    <row r="34" spans="1:8">
      <c r="A34" s="144" t="s">
        <v>56</v>
      </c>
      <c r="B34" s="141">
        <v>131602214.7955853</v>
      </c>
      <c r="C34" s="141">
        <v>132349716.66642269</v>
      </c>
      <c r="D34" s="141">
        <v>132574671.18720037</v>
      </c>
      <c r="E34" s="141">
        <v>135434772.38036293</v>
      </c>
      <c r="F34" s="141">
        <v>138491587.00149956</v>
      </c>
      <c r="G34" s="141">
        <v>141484020.65243867</v>
      </c>
      <c r="H34" s="141">
        <v>144480069.03943613</v>
      </c>
    </row>
    <row r="35" spans="1:8">
      <c r="A35" s="144" t="s">
        <v>57</v>
      </c>
      <c r="B35" s="141">
        <v>101583604.72167662</v>
      </c>
      <c r="C35" s="141">
        <v>102238037.83594202</v>
      </c>
      <c r="D35" s="141">
        <v>102550062.60989465</v>
      </c>
      <c r="E35" s="141">
        <v>104692419.03137529</v>
      </c>
      <c r="F35" s="141">
        <v>107221851.16413948</v>
      </c>
      <c r="G35" s="141">
        <v>109565344.91103749</v>
      </c>
      <c r="H35" s="141">
        <v>111816415.64060487</v>
      </c>
    </row>
    <row r="36" spans="1:8">
      <c r="A36" s="144" t="s">
        <v>58</v>
      </c>
      <c r="B36" s="141">
        <v>28244679.465637866</v>
      </c>
      <c r="C36" s="141">
        <v>28337598.430375438</v>
      </c>
      <c r="D36" s="141">
        <v>28379097.477408089</v>
      </c>
      <c r="E36" s="141">
        <v>28946471.046913415</v>
      </c>
      <c r="F36" s="141">
        <v>29612179.802544575</v>
      </c>
      <c r="G36" s="141">
        <v>30207026.948974986</v>
      </c>
      <c r="H36" s="141">
        <v>30802596.388919581</v>
      </c>
    </row>
    <row r="37" spans="1:8">
      <c r="A37" s="144" t="s">
        <v>59</v>
      </c>
      <c r="B37" s="141">
        <v>94320943.120430261</v>
      </c>
      <c r="C37" s="141">
        <v>94885118.248407364</v>
      </c>
      <c r="D37" s="141">
        <v>95265045.341230989</v>
      </c>
      <c r="E37" s="141">
        <v>97280996.200051188</v>
      </c>
      <c r="F37" s="141">
        <v>99402731.544755086</v>
      </c>
      <c r="G37" s="141">
        <v>101511612.5580588</v>
      </c>
      <c r="H37" s="141">
        <v>103622723.90548393</v>
      </c>
    </row>
    <row r="38" spans="1:8">
      <c r="A38" s="144" t="s">
        <v>123</v>
      </c>
      <c r="B38" s="141">
        <v>19129871.145465404</v>
      </c>
      <c r="C38" s="141">
        <v>19183050.728721716</v>
      </c>
      <c r="D38" s="141">
        <v>19200251.210763328</v>
      </c>
      <c r="E38" s="141">
        <v>19555678.863914363</v>
      </c>
      <c r="F38" s="141">
        <v>20095421.65602722</v>
      </c>
      <c r="G38" s="141">
        <v>20470576.366435755</v>
      </c>
      <c r="H38" s="141">
        <v>20846189.953511734</v>
      </c>
    </row>
    <row r="39" spans="1:8">
      <c r="A39" s="144" t="s">
        <v>60</v>
      </c>
      <c r="B39" s="141">
        <v>811989.63611457823</v>
      </c>
      <c r="C39" s="141">
        <v>812130.85367617453</v>
      </c>
      <c r="D39" s="141">
        <v>812300.89787819667</v>
      </c>
      <c r="E39" s="141">
        <v>819114.80072766286</v>
      </c>
      <c r="F39" s="141">
        <v>825964.49867945339</v>
      </c>
      <c r="G39" s="141">
        <v>833084.90724435193</v>
      </c>
      <c r="H39" s="141">
        <v>840214.05855287029</v>
      </c>
    </row>
    <row r="40" spans="1:8">
      <c r="A40" s="144" t="s">
        <v>61</v>
      </c>
      <c r="B40" s="141">
        <v>23591336.991966181</v>
      </c>
      <c r="C40" s="141">
        <v>23682757.855829883</v>
      </c>
      <c r="D40" s="141">
        <v>23711115.230655041</v>
      </c>
      <c r="E40" s="141">
        <v>24191105.688135158</v>
      </c>
      <c r="F40" s="141">
        <v>24629350.55591774</v>
      </c>
      <c r="G40" s="141">
        <v>25130017.206742547</v>
      </c>
      <c r="H40" s="141">
        <v>25631291.447313886</v>
      </c>
    </row>
    <row r="41" spans="1:8">
      <c r="A41" s="144" t="s">
        <v>62</v>
      </c>
      <c r="B41" s="141">
        <v>57172865.618546136</v>
      </c>
      <c r="C41" s="141">
        <v>57490583.903197691</v>
      </c>
      <c r="D41" s="141">
        <v>57584749.797055863</v>
      </c>
      <c r="E41" s="141">
        <v>58804767.390541874</v>
      </c>
      <c r="F41" s="141">
        <v>59829835.457413964</v>
      </c>
      <c r="G41" s="141">
        <v>61100577.171928145</v>
      </c>
      <c r="H41" s="141">
        <v>62372856.619869374</v>
      </c>
    </row>
    <row r="42" spans="1:8">
      <c r="A42" s="144" t="s">
        <v>63</v>
      </c>
      <c r="B42" s="141">
        <v>15671744.11582025</v>
      </c>
      <c r="C42" s="141">
        <v>15741811.208471168</v>
      </c>
      <c r="D42" s="141">
        <v>15765352.576747425</v>
      </c>
      <c r="E42" s="141">
        <v>16078984.407517644</v>
      </c>
      <c r="F42" s="141">
        <v>16354075.775982559</v>
      </c>
      <c r="G42" s="141">
        <v>16680985.738400349</v>
      </c>
      <c r="H42" s="141">
        <v>17008291.834884226</v>
      </c>
    </row>
    <row r="43" spans="1:8">
      <c r="A43" s="144" t="s">
        <v>64</v>
      </c>
      <c r="B43" s="141">
        <v>573263437.00570142</v>
      </c>
      <c r="C43" s="141">
        <v>498875376.44434124</v>
      </c>
      <c r="D43" s="141">
        <v>501753553.46678627</v>
      </c>
      <c r="E43" s="141">
        <v>512228936.84259105</v>
      </c>
      <c r="F43" s="141">
        <v>521270743.24754751</v>
      </c>
      <c r="G43" s="141">
        <v>532186610.12129837</v>
      </c>
      <c r="H43" s="141">
        <v>543115633.89983809</v>
      </c>
    </row>
    <row r="44" spans="1:8">
      <c r="A44" s="144" t="s">
        <v>65</v>
      </c>
      <c r="B44" s="141">
        <v>43810139.300064571</v>
      </c>
      <c r="C44" s="141">
        <v>44034254.277045816</v>
      </c>
      <c r="D44" s="141">
        <v>44142288.224828139</v>
      </c>
      <c r="E44" s="141">
        <v>45047799.710978821</v>
      </c>
      <c r="F44" s="141">
        <v>45972649.532771647</v>
      </c>
      <c r="G44" s="141">
        <v>46919179.245005347</v>
      </c>
      <c r="H44" s="141">
        <v>47866854.00511317</v>
      </c>
    </row>
    <row r="45" spans="1:8">
      <c r="A45" s="144" t="s">
        <v>66</v>
      </c>
      <c r="B45" s="141">
        <v>1342157884.125746</v>
      </c>
      <c r="C45" s="141">
        <v>1291308945.5279064</v>
      </c>
      <c r="D45" s="141">
        <v>1302788755.5908561</v>
      </c>
      <c r="E45" s="141">
        <v>1329844493.6543458</v>
      </c>
      <c r="F45" s="141">
        <v>1354461176.8263395</v>
      </c>
      <c r="G45" s="141">
        <v>1382779274.5926418</v>
      </c>
      <c r="H45" s="141">
        <v>1411034694.5264814</v>
      </c>
    </row>
    <row r="46" spans="1:8">
      <c r="A46" s="144" t="s">
        <v>67</v>
      </c>
      <c r="B46" s="141">
        <v>114759872.95171516</v>
      </c>
      <c r="C46" s="141">
        <v>115323290.34487455</v>
      </c>
      <c r="D46" s="141">
        <v>115505018.08660142</v>
      </c>
      <c r="E46" s="141">
        <v>117946148.60741238</v>
      </c>
      <c r="F46" s="141">
        <v>120200387.6106872</v>
      </c>
      <c r="G46" s="141">
        <v>122752866.04518431</v>
      </c>
      <c r="H46" s="141">
        <v>125302863.26422036</v>
      </c>
    </row>
    <row r="47" spans="1:8">
      <c r="A47" s="144" t="s">
        <v>68</v>
      </c>
      <c r="B47" s="141">
        <v>13689173.595636988</v>
      </c>
      <c r="C47" s="141">
        <v>13743980.299100671</v>
      </c>
      <c r="D47" s="141">
        <v>13756757.459948489</v>
      </c>
      <c r="E47" s="141">
        <v>14012368.653905382</v>
      </c>
      <c r="F47" s="141">
        <v>14491899.614531698</v>
      </c>
      <c r="G47" s="141">
        <v>14763570.79533438</v>
      </c>
      <c r="H47" s="141">
        <v>15035573.900363887</v>
      </c>
    </row>
    <row r="48" spans="1:8">
      <c r="A48" s="144" t="s">
        <v>124</v>
      </c>
      <c r="B48" s="141">
        <v>174852835.74649885</v>
      </c>
      <c r="C48" s="141">
        <v>175919069.93249908</v>
      </c>
      <c r="D48" s="141">
        <v>176564966.37872711</v>
      </c>
      <c r="E48" s="141">
        <v>180312767.6536448</v>
      </c>
      <c r="F48" s="141">
        <v>183727002.42320237</v>
      </c>
      <c r="G48" s="141">
        <v>187647909.66012233</v>
      </c>
      <c r="H48" s="141">
        <v>191561944.56783241</v>
      </c>
    </row>
    <row r="49" spans="1:8">
      <c r="A49" s="144" t="s">
        <v>69</v>
      </c>
      <c r="B49" s="141">
        <v>47171865.076667719</v>
      </c>
      <c r="C49" s="141">
        <v>47329362.997329935</v>
      </c>
      <c r="D49" s="141">
        <v>47390872.628475867</v>
      </c>
      <c r="E49" s="141">
        <v>48225045.9996204</v>
      </c>
      <c r="F49" s="141">
        <v>48977281.826965012</v>
      </c>
      <c r="G49" s="141">
        <v>49847198.085828692</v>
      </c>
      <c r="H49" s="141">
        <v>50718167.511689007</v>
      </c>
    </row>
    <row r="50" spans="1:8">
      <c r="A50" s="144" t="s">
        <v>70</v>
      </c>
      <c r="B50" s="141">
        <v>93960862.60211499</v>
      </c>
      <c r="C50" s="141">
        <v>94559084.392605528</v>
      </c>
      <c r="D50" s="141">
        <v>94964591.02335842</v>
      </c>
      <c r="E50" s="141">
        <v>96953387.482903972</v>
      </c>
      <c r="F50" s="141">
        <v>98912277.923873499</v>
      </c>
      <c r="G50" s="141">
        <v>100991182.60990809</v>
      </c>
      <c r="H50" s="141">
        <v>103071120.84853272</v>
      </c>
    </row>
    <row r="51" spans="1:8">
      <c r="A51" s="144" t="s">
        <v>71</v>
      </c>
      <c r="B51" s="141">
        <v>387365824.90586275</v>
      </c>
      <c r="C51" s="141">
        <v>390359542.00376427</v>
      </c>
      <c r="D51" s="141">
        <v>393337921.00428545</v>
      </c>
      <c r="E51" s="141">
        <v>401474391.42802554</v>
      </c>
      <c r="F51" s="141">
        <v>410516387.65412581</v>
      </c>
      <c r="G51" s="141">
        <v>419040293.02564728</v>
      </c>
      <c r="H51" s="141">
        <v>427570693.94356805</v>
      </c>
    </row>
    <row r="52" spans="1:8">
      <c r="A52" s="144" t="s">
        <v>72</v>
      </c>
      <c r="B52" s="141">
        <v>67260622.84324491</v>
      </c>
      <c r="C52" s="141">
        <v>67769777.067905441</v>
      </c>
      <c r="D52" s="141">
        <v>68000051.812979609</v>
      </c>
      <c r="E52" s="141">
        <v>69452817.149890453</v>
      </c>
      <c r="F52" s="141">
        <v>71416526.964878425</v>
      </c>
      <c r="G52" s="141">
        <v>72944940.882031292</v>
      </c>
      <c r="H52" s="141">
        <v>74475195.405526027</v>
      </c>
    </row>
    <row r="53" spans="1:8">
      <c r="A53" s="144" t="s">
        <v>125</v>
      </c>
      <c r="B53" s="141">
        <v>36370776.718488581</v>
      </c>
      <c r="C53" s="141">
        <v>27755984.879328106</v>
      </c>
      <c r="D53" s="141">
        <v>27846699.676647324</v>
      </c>
      <c r="E53" s="141">
        <v>28410907.992728297</v>
      </c>
      <c r="F53" s="141">
        <v>28881392.463613231</v>
      </c>
      <c r="G53" s="141">
        <v>29468985.030013569</v>
      </c>
      <c r="H53" s="141">
        <v>30057286.735727016</v>
      </c>
    </row>
    <row r="54" spans="1:8">
      <c r="A54" s="144" t="s">
        <v>73</v>
      </c>
      <c r="B54" s="141">
        <v>46830050.116782852</v>
      </c>
      <c r="C54" s="141">
        <v>47050469.319394842</v>
      </c>
      <c r="D54" s="141">
        <v>47135053.746873073</v>
      </c>
      <c r="E54" s="141">
        <v>48124757.746535376</v>
      </c>
      <c r="F54" s="141">
        <v>49069164.272940941</v>
      </c>
      <c r="G54" s="141">
        <v>50102338.456388906</v>
      </c>
      <c r="H54" s="141">
        <v>51136759.982580528</v>
      </c>
    </row>
    <row r="55" spans="1:8">
      <c r="A55" s="144" t="s">
        <v>74</v>
      </c>
      <c r="B55" s="141">
        <v>15500615.732969012</v>
      </c>
      <c r="C55" s="141">
        <v>15540179.278128898</v>
      </c>
      <c r="D55" s="141">
        <v>15553889.888278253</v>
      </c>
      <c r="E55" s="141">
        <v>15815977.989124306</v>
      </c>
      <c r="F55" s="141">
        <v>16131581.102657784</v>
      </c>
      <c r="G55" s="141">
        <v>16406524.321845088</v>
      </c>
      <c r="H55" s="141">
        <v>16681804.010443332</v>
      </c>
    </row>
    <row r="56" spans="1:8">
      <c r="A56" s="144" t="s">
        <v>75</v>
      </c>
      <c r="B56" s="141">
        <v>85414173.837452203</v>
      </c>
      <c r="C56" s="141">
        <v>85856341.574338838</v>
      </c>
      <c r="D56" s="141">
        <v>86040582.559775651</v>
      </c>
      <c r="E56" s="141">
        <v>87840984.339717463</v>
      </c>
      <c r="F56" s="141">
        <v>89473033.403698981</v>
      </c>
      <c r="G56" s="141">
        <v>91350746.629040986</v>
      </c>
      <c r="H56" s="141">
        <v>93230727.523657113</v>
      </c>
    </row>
    <row r="57" spans="1:8">
      <c r="A57" s="144" t="s">
        <v>76</v>
      </c>
      <c r="B57" s="141">
        <v>415592412.47129476</v>
      </c>
      <c r="C57" s="141">
        <v>418151096.16338992</v>
      </c>
      <c r="D57" s="141">
        <v>419174135.94525409</v>
      </c>
      <c r="E57" s="141">
        <v>428207875.18064082</v>
      </c>
      <c r="F57" s="141">
        <v>435951432.02042347</v>
      </c>
      <c r="G57" s="141">
        <v>445491473.58066016</v>
      </c>
      <c r="H57" s="141">
        <v>454917899.53290975</v>
      </c>
    </row>
    <row r="58" spans="1:8">
      <c r="A58" s="144" t="s">
        <v>77</v>
      </c>
      <c r="B58" s="141">
        <v>70692670.568050548</v>
      </c>
      <c r="C58" s="141">
        <v>71144253.33797279</v>
      </c>
      <c r="D58" s="141">
        <v>71330136.807541043</v>
      </c>
      <c r="E58" s="141">
        <v>72821836.306385458</v>
      </c>
      <c r="F58" s="141">
        <v>74264811.605762124</v>
      </c>
      <c r="G58" s="141">
        <v>75836627.278269038</v>
      </c>
      <c r="H58" s="141">
        <v>77396406.151008785</v>
      </c>
    </row>
    <row r="59" spans="1:8">
      <c r="A59" s="144" t="s">
        <v>126</v>
      </c>
      <c r="B59" s="141">
        <v>8370585.2369895615</v>
      </c>
      <c r="C59" s="141">
        <v>8412280.9210026748</v>
      </c>
      <c r="D59" s="141">
        <v>8421276.0431127083</v>
      </c>
      <c r="E59" s="141">
        <v>8575449.6599987373</v>
      </c>
      <c r="F59" s="141">
        <v>9059369.0560598299</v>
      </c>
      <c r="G59" s="141">
        <v>9227222.9806010872</v>
      </c>
      <c r="H59" s="141">
        <v>9395282.9984054081</v>
      </c>
    </row>
    <row r="60" spans="1:8">
      <c r="A60" s="144" t="s">
        <v>127</v>
      </c>
      <c r="B60" s="141">
        <v>1843783.1673340281</v>
      </c>
      <c r="C60" s="141">
        <v>1853686.5055123942</v>
      </c>
      <c r="D60" s="141">
        <v>1857116.030442053</v>
      </c>
      <c r="E60" s="141">
        <v>1886683.9308956328</v>
      </c>
      <c r="F60" s="141">
        <v>1910710.566866538</v>
      </c>
      <c r="G60" s="141">
        <v>1941491.3003071016</v>
      </c>
      <c r="H60" s="141">
        <v>1972308.7254632318</v>
      </c>
    </row>
    <row r="61" spans="1:8">
      <c r="A61" s="144" t="s">
        <v>78</v>
      </c>
      <c r="B61" s="141">
        <v>161234228.21724939</v>
      </c>
      <c r="C61" s="141">
        <v>162264192.75647053</v>
      </c>
      <c r="D61" s="141">
        <v>162447240.11508581</v>
      </c>
      <c r="E61" s="141">
        <v>165887046.23227775</v>
      </c>
      <c r="F61" s="141">
        <v>170058299.19379142</v>
      </c>
      <c r="G61" s="141">
        <v>173688944.51737139</v>
      </c>
      <c r="H61" s="141">
        <v>177302841.58625919</v>
      </c>
    </row>
    <row r="62" spans="1:8">
      <c r="A62" s="144" t="s">
        <v>79</v>
      </c>
      <c r="B62" s="141">
        <v>231768948.02926096</v>
      </c>
      <c r="C62" s="141">
        <v>233728553.67080218</v>
      </c>
      <c r="D62" s="141">
        <v>234875453.48001766</v>
      </c>
      <c r="E62" s="141">
        <v>239822574.27897909</v>
      </c>
      <c r="F62" s="141">
        <v>245482604.27790052</v>
      </c>
      <c r="G62" s="141">
        <v>250878711.72367579</v>
      </c>
      <c r="H62" s="141">
        <v>256072908.53355727</v>
      </c>
    </row>
    <row r="63" spans="1:8">
      <c r="A63" s="144" t="s">
        <v>80</v>
      </c>
      <c r="B63" s="141">
        <v>24824408.331554729</v>
      </c>
      <c r="C63" s="141">
        <v>24957463.359129921</v>
      </c>
      <c r="D63" s="141">
        <v>25013861.756197106</v>
      </c>
      <c r="E63" s="141">
        <v>25485002.68293355</v>
      </c>
      <c r="F63" s="141">
        <v>26492652.061320655</v>
      </c>
      <c r="G63" s="141">
        <v>26995937.325448293</v>
      </c>
      <c r="H63" s="141">
        <v>27499830.791924164</v>
      </c>
    </row>
    <row r="64" spans="1:8">
      <c r="A64" s="144" t="s">
        <v>128</v>
      </c>
      <c r="B64" s="141">
        <v>80216786.922118753</v>
      </c>
      <c r="C64" s="141">
        <v>80668290.664420888</v>
      </c>
      <c r="D64" s="141">
        <v>80798740.080567315</v>
      </c>
      <c r="E64" s="141">
        <v>82490881.621234655</v>
      </c>
      <c r="F64" s="141">
        <v>84834774.010840923</v>
      </c>
      <c r="G64" s="141">
        <v>86616194.271748349</v>
      </c>
      <c r="H64" s="141">
        <v>88399767.845182627</v>
      </c>
    </row>
    <row r="65" spans="1:8">
      <c r="A65" s="144" t="s">
        <v>133</v>
      </c>
      <c r="B65" s="141">
        <v>10937600.008741822</v>
      </c>
      <c r="C65" s="141">
        <v>10957346.475788409</v>
      </c>
      <c r="D65" s="141">
        <v>10966070.651536107</v>
      </c>
      <c r="E65" s="141">
        <v>11174638.815873109</v>
      </c>
      <c r="F65" s="141">
        <v>11374118.076102303</v>
      </c>
      <c r="G65" s="141">
        <v>11591855.921396228</v>
      </c>
      <c r="H65" s="141">
        <v>11809861.845074734</v>
      </c>
    </row>
    <row r="66" spans="1:8">
      <c r="A66" s="144" t="s">
        <v>106</v>
      </c>
      <c r="B66" s="141">
        <v>0</v>
      </c>
      <c r="C66" s="141">
        <v>0</v>
      </c>
      <c r="D66" s="141">
        <v>0</v>
      </c>
      <c r="E66" s="141">
        <v>0</v>
      </c>
      <c r="F66" s="141">
        <v>0</v>
      </c>
      <c r="G66" s="141">
        <v>0</v>
      </c>
      <c r="H66" s="141">
        <v>0</v>
      </c>
    </row>
    <row r="67" spans="1:8" ht="15" thickBot="1">
      <c r="A67" s="145" t="s">
        <v>107</v>
      </c>
      <c r="B67" s="152">
        <v>8482130936.1893997</v>
      </c>
      <c r="C67" s="152">
        <v>8287703713.0843515</v>
      </c>
      <c r="D67" s="152">
        <v>8333028389.8356018</v>
      </c>
      <c r="E67" s="152">
        <v>8507369052.217536</v>
      </c>
      <c r="F67" s="152">
        <v>8682619237.4285851</v>
      </c>
      <c r="G67" s="152">
        <v>8864799291.2140923</v>
      </c>
      <c r="H67" s="152">
        <v>9044992859.5634956</v>
      </c>
    </row>
    <row r="68" spans="1:8" ht="15" thickTop="1">
      <c r="A68" s="146" t="s">
        <v>108</v>
      </c>
      <c r="B68" s="141">
        <v>54195663.875</v>
      </c>
      <c r="C68" s="141">
        <v>57676761.85125</v>
      </c>
      <c r="D68" s="141">
        <v>57999085.100000001</v>
      </c>
      <c r="E68" s="141">
        <v>59210241.361249998</v>
      </c>
      <c r="F68" s="141">
        <v>60427719.25</v>
      </c>
      <c r="G68" s="141">
        <v>61693336.32</v>
      </c>
      <c r="H68" s="141">
        <v>62960481.206249997</v>
      </c>
    </row>
    <row r="69" spans="1:8">
      <c r="A69" s="146"/>
      <c r="B69" s="141"/>
      <c r="C69" s="141"/>
      <c r="D69" s="141"/>
      <c r="E69" s="141"/>
      <c r="F69" s="141"/>
      <c r="G69" s="141"/>
      <c r="H69" s="141"/>
    </row>
    <row r="70" spans="1:8" ht="15" thickBot="1">
      <c r="A70" s="147" t="s">
        <v>107</v>
      </c>
      <c r="B70" s="153">
        <f>SUM(B67:B68)</f>
        <v>8536326600.0643997</v>
      </c>
      <c r="C70" s="153">
        <f>SUM(C67:C68)</f>
        <v>8345380474.9356012</v>
      </c>
      <c r="D70" s="153">
        <f t="shared" ref="D70:H70" si="0">SUM(D67:D68)</f>
        <v>8391027474.9356022</v>
      </c>
      <c r="E70" s="153">
        <f t="shared" si="0"/>
        <v>8566579293.5787859</v>
      </c>
      <c r="F70" s="153">
        <f t="shared" si="0"/>
        <v>8743046956.6785851</v>
      </c>
      <c r="G70" s="153">
        <f t="shared" si="0"/>
        <v>8926492627.5340919</v>
      </c>
      <c r="H70" s="153">
        <f t="shared" si="0"/>
        <v>9107953340.7697449</v>
      </c>
    </row>
    <row r="71" spans="1:8" s="101" customFormat="1" ht="15" thickTop="1">
      <c r="A71" s="148" t="s">
        <v>185</v>
      </c>
      <c r="B71" s="141">
        <v>0</v>
      </c>
      <c r="C71" s="141">
        <v>90000000</v>
      </c>
      <c r="D71" s="141">
        <v>200000000</v>
      </c>
      <c r="E71" s="141">
        <v>200000000</v>
      </c>
      <c r="F71" s="141">
        <v>200000000</v>
      </c>
      <c r="G71" s="141">
        <v>200000000</v>
      </c>
      <c r="H71" s="141">
        <v>200000000</v>
      </c>
    </row>
    <row r="72" spans="1:8" s="101" customFormat="1">
      <c r="A72" s="148" t="s">
        <v>187</v>
      </c>
      <c r="B72" s="141">
        <v>0</v>
      </c>
      <c r="C72" s="141">
        <v>262950000</v>
      </c>
      <c r="D72" s="141">
        <v>262950000</v>
      </c>
      <c r="E72" s="141">
        <v>268288000</v>
      </c>
      <c r="F72" s="141">
        <v>273653500</v>
      </c>
      <c r="G72" s="141">
        <v>279231500</v>
      </c>
      <c r="H72" s="141">
        <v>284816000</v>
      </c>
    </row>
    <row r="73" spans="1:8" s="101" customFormat="1">
      <c r="A73" s="154" t="s">
        <v>186</v>
      </c>
      <c r="B73" s="141">
        <v>0</v>
      </c>
      <c r="C73" s="153">
        <f t="shared" ref="C73:H73" si="1">SUM(C71:C72)</f>
        <v>352950000</v>
      </c>
      <c r="D73" s="153">
        <f t="shared" si="1"/>
        <v>462950000</v>
      </c>
      <c r="E73" s="153">
        <f t="shared" si="1"/>
        <v>468288000</v>
      </c>
      <c r="F73" s="153">
        <f t="shared" si="1"/>
        <v>473653500</v>
      </c>
      <c r="G73" s="153">
        <f t="shared" si="1"/>
        <v>479231500</v>
      </c>
      <c r="H73" s="153">
        <f t="shared" si="1"/>
        <v>484816000</v>
      </c>
    </row>
    <row r="74" spans="1:8">
      <c r="A74" s="148" t="s">
        <v>109</v>
      </c>
      <c r="B74" s="141">
        <v>30000000</v>
      </c>
      <c r="C74" s="141">
        <v>30000000</v>
      </c>
      <c r="D74" s="141">
        <v>30000000</v>
      </c>
      <c r="E74" s="141">
        <v>30000000</v>
      </c>
      <c r="F74" s="141">
        <v>30000000</v>
      </c>
      <c r="G74" s="141">
        <v>30000000</v>
      </c>
      <c r="H74" s="141">
        <v>30000000</v>
      </c>
    </row>
    <row r="75" spans="1:8">
      <c r="A75" s="149" t="s">
        <v>158</v>
      </c>
      <c r="B75" s="141">
        <v>5000000</v>
      </c>
      <c r="C75" s="141">
        <v>5000000</v>
      </c>
      <c r="D75" s="141">
        <v>5000000</v>
      </c>
      <c r="E75" s="141">
        <v>5000000</v>
      </c>
      <c r="F75" s="141">
        <v>5000000</v>
      </c>
      <c r="G75" s="141">
        <v>5000000</v>
      </c>
      <c r="H75" s="141">
        <v>5000000</v>
      </c>
    </row>
    <row r="76" spans="1:8">
      <c r="A76" s="149" t="s">
        <v>159</v>
      </c>
      <c r="B76" s="141">
        <v>1823400</v>
      </c>
      <c r="C76" s="141">
        <v>5000000</v>
      </c>
      <c r="D76" s="141">
        <v>5000000</v>
      </c>
      <c r="E76" s="141">
        <v>5000000</v>
      </c>
      <c r="F76" s="141">
        <v>5000000</v>
      </c>
      <c r="G76" s="141">
        <v>5000000</v>
      </c>
      <c r="H76" s="141">
        <v>5000000</v>
      </c>
    </row>
    <row r="77" spans="1:8">
      <c r="A77" s="150"/>
      <c r="B77" s="141"/>
      <c r="C77" s="141"/>
      <c r="D77" s="141"/>
      <c r="E77" s="141"/>
      <c r="F77" s="141"/>
      <c r="G77" s="141"/>
      <c r="H77" s="141"/>
    </row>
    <row r="78" spans="1:8" ht="15" thickBot="1">
      <c r="A78" s="151" t="s">
        <v>110</v>
      </c>
      <c r="B78" s="140">
        <f>SUM(B70,B73,B74,B75,B76)</f>
        <v>8573150000.0643997</v>
      </c>
      <c r="C78" s="140">
        <f>SUM(C70,C73,C74,C75,C76)</f>
        <v>8738330474.9356003</v>
      </c>
      <c r="D78" s="140">
        <f>SUM(D70,D73,D74,D75,D76)</f>
        <v>8893977474.9356022</v>
      </c>
      <c r="E78" s="140">
        <f>SUM(E70,E73,E74,E75,E76)</f>
        <v>9074867293.5787849</v>
      </c>
      <c r="F78" s="140">
        <f>SUM(F70,F73,F74,F75,F76)</f>
        <v>9256700456.6785851</v>
      </c>
      <c r="G78" s="140">
        <f t="shared" ref="G78:H78" si="2">SUM(G70,G73,G74,G75,G76)</f>
        <v>9445724127.5340919</v>
      </c>
      <c r="H78" s="140">
        <f t="shared" si="2"/>
        <v>9632769340.7697449</v>
      </c>
    </row>
    <row r="79" spans="1:8" ht="15" thickTop="1">
      <c r="B79" s="102" t="e">
        <f>#REF!</f>
        <v>#REF!</v>
      </c>
      <c r="C79" s="102" t="e">
        <f>#REF!</f>
        <v>#REF!</v>
      </c>
      <c r="D79" s="102" t="e">
        <f>#REF!</f>
        <v>#REF!</v>
      </c>
      <c r="E79" s="102" t="e">
        <f>#REF!</f>
        <v>#REF!</v>
      </c>
      <c r="F79" s="102" t="e">
        <f>#REF!</f>
        <v>#REF!</v>
      </c>
      <c r="G79" s="102" t="e">
        <f>#REF!</f>
        <v>#REF!</v>
      </c>
      <c r="H79" s="102" t="e">
        <f>#REF!</f>
        <v>#REF!</v>
      </c>
    </row>
    <row r="80" spans="1:8">
      <c r="A80" s="72" t="s">
        <v>111</v>
      </c>
      <c r="B80" s="102"/>
      <c r="C80" s="102"/>
      <c r="D80" s="102"/>
      <c r="E80" s="102"/>
      <c r="F80" s="102"/>
      <c r="G80" s="102"/>
      <c r="H80" s="102"/>
    </row>
    <row r="81" spans="1:8">
      <c r="B81" s="102" t="e">
        <f t="shared" ref="B81:H81" si="3">B79-B78</f>
        <v>#REF!</v>
      </c>
      <c r="C81" s="102" t="e">
        <f t="shared" si="3"/>
        <v>#REF!</v>
      </c>
      <c r="D81" s="102" t="e">
        <f t="shared" si="3"/>
        <v>#REF!</v>
      </c>
      <c r="E81" s="102" t="e">
        <f t="shared" si="3"/>
        <v>#REF!</v>
      </c>
      <c r="F81" s="102" t="e">
        <f t="shared" si="3"/>
        <v>#REF!</v>
      </c>
      <c r="G81" s="102" t="e">
        <f t="shared" si="3"/>
        <v>#REF!</v>
      </c>
      <c r="H81" s="102" t="e">
        <f t="shared" si="3"/>
        <v>#REF!</v>
      </c>
    </row>
    <row r="82" spans="1:8">
      <c r="A82" s="138" t="s">
        <v>177</v>
      </c>
      <c r="B82" s="102"/>
      <c r="C82" s="102"/>
      <c r="D82" s="102"/>
      <c r="E82" s="102"/>
      <c r="F82" s="102"/>
      <c r="G82" s="102"/>
      <c r="H82" s="102"/>
    </row>
    <row r="83" spans="1:8">
      <c r="B83" s="102"/>
      <c r="C83" s="102" t="e">
        <f>21850000-C81</f>
        <v>#REF!</v>
      </c>
      <c r="D83" s="102" t="e">
        <f t="shared" ref="D83:H83" si="4">21850000-D81</f>
        <v>#REF!</v>
      </c>
      <c r="E83" s="102" t="e">
        <f t="shared" si="4"/>
        <v>#REF!</v>
      </c>
      <c r="F83" s="102" t="e">
        <f t="shared" si="4"/>
        <v>#REF!</v>
      </c>
      <c r="G83" s="102" t="e">
        <f t="shared" si="4"/>
        <v>#REF!</v>
      </c>
      <c r="H83" s="102" t="e">
        <f t="shared" si="4"/>
        <v>#REF!</v>
      </c>
    </row>
    <row r="84" spans="1:8">
      <c r="B84" s="102"/>
      <c r="C84" s="102"/>
      <c r="D84" s="102"/>
      <c r="E84" s="102"/>
      <c r="F84" s="102"/>
      <c r="G84" s="102"/>
      <c r="H84" s="102"/>
    </row>
    <row r="85" spans="1:8">
      <c r="B85" s="102">
        <f>'FY 15'!$S$70</f>
        <v>8536326600.0643997</v>
      </c>
      <c r="C85" s="102">
        <f>'FY 16'!$AB$70</f>
        <v>8986744771</v>
      </c>
      <c r="D85" s="102" t="e">
        <f>#REF!</f>
        <v>#REF!</v>
      </c>
      <c r="E85" s="102" t="e">
        <f>#REF!</f>
        <v>#REF!</v>
      </c>
      <c r="F85" s="102" t="e">
        <f>#REF!</f>
        <v>#REF!</v>
      </c>
      <c r="G85" s="102" t="e">
        <f>#REF!</f>
        <v>#REF!</v>
      </c>
      <c r="H85" s="102" t="e">
        <f>#REF!</f>
        <v>#REF!</v>
      </c>
    </row>
    <row r="86" spans="1:8">
      <c r="B86" s="102"/>
      <c r="C86" s="102"/>
      <c r="D86" s="102"/>
      <c r="E86" s="102"/>
      <c r="F86" s="102"/>
      <c r="G86" s="102"/>
      <c r="H86" s="102"/>
    </row>
    <row r="87" spans="1:8">
      <c r="B87" s="102"/>
      <c r="C87" s="102"/>
      <c r="D87" s="102"/>
      <c r="E87" s="102"/>
      <c r="F87" s="102"/>
      <c r="G87" s="102"/>
      <c r="H87" s="102"/>
    </row>
    <row r="88" spans="1:8">
      <c r="B88" s="102"/>
      <c r="C88" s="102"/>
      <c r="D88" s="102"/>
      <c r="E88" s="102"/>
      <c r="F88" s="102"/>
      <c r="G88" s="102"/>
      <c r="H88" s="102"/>
    </row>
    <row r="89" spans="1:8">
      <c r="B89" s="102"/>
      <c r="C89" s="102"/>
      <c r="D89" s="102"/>
      <c r="E89" s="102"/>
      <c r="F89" s="102"/>
      <c r="G89" s="102"/>
      <c r="H89" s="102"/>
    </row>
    <row r="90" spans="1:8">
      <c r="B90" s="102"/>
      <c r="C90" s="102"/>
      <c r="D90" s="102"/>
      <c r="E90" s="102"/>
      <c r="F90" s="102"/>
      <c r="G90" s="102"/>
      <c r="H90" s="102"/>
    </row>
    <row r="91" spans="1:8">
      <c r="B91" s="102"/>
      <c r="C91" s="102"/>
      <c r="D91" s="102"/>
      <c r="E91" s="102"/>
      <c r="F91" s="102"/>
      <c r="G91" s="102"/>
      <c r="H91" s="102"/>
    </row>
    <row r="92" spans="1:8">
      <c r="B92" s="102"/>
      <c r="C92" s="102"/>
      <c r="D92" s="102"/>
      <c r="E92" s="102"/>
      <c r="F92" s="102"/>
      <c r="G92" s="102"/>
      <c r="H92" s="102"/>
    </row>
    <row r="93" spans="1:8">
      <c r="B93" s="102"/>
      <c r="C93" s="102"/>
      <c r="D93" s="102"/>
      <c r="E93" s="102"/>
      <c r="F93" s="102"/>
      <c r="G93" s="102"/>
      <c r="H93" s="102"/>
    </row>
    <row r="94" spans="1:8">
      <c r="B94" s="102"/>
      <c r="C94" s="102"/>
      <c r="D94" s="102"/>
      <c r="E94" s="102"/>
      <c r="F94" s="102"/>
      <c r="G94" s="102"/>
      <c r="H94" s="102"/>
    </row>
    <row r="95" spans="1:8">
      <c r="B95" s="102"/>
      <c r="C95" s="102"/>
      <c r="D95" s="102"/>
      <c r="E95" s="102"/>
      <c r="F95" s="102"/>
      <c r="G95" s="102"/>
      <c r="H95" s="102"/>
    </row>
    <row r="96" spans="1:8">
      <c r="B96" s="102"/>
      <c r="C96" s="102"/>
      <c r="D96" s="102"/>
      <c r="E96" s="102"/>
      <c r="F96" s="102"/>
      <c r="G96" s="102"/>
      <c r="H96" s="102"/>
    </row>
    <row r="97" spans="2:8">
      <c r="B97" s="102"/>
      <c r="C97" s="102"/>
      <c r="D97" s="102"/>
      <c r="E97" s="102"/>
      <c r="F97" s="102"/>
      <c r="G97" s="102"/>
      <c r="H97" s="102"/>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workbookViewId="0">
      <selection activeCell="G84" sqref="G84"/>
    </sheetView>
  </sheetViews>
  <sheetFormatPr baseColWidth="10" defaultColWidth="8.83203125" defaultRowHeight="14" x14ac:dyDescent="0"/>
  <cols>
    <col min="1" max="1" width="29.33203125" style="72" customWidth="1"/>
    <col min="2" max="2" width="14" customWidth="1"/>
    <col min="3" max="3" width="14.83203125" customWidth="1"/>
    <col min="4" max="4" width="16.5" customWidth="1"/>
    <col min="5" max="5" width="12.33203125" customWidth="1"/>
    <col min="6" max="6" width="14.5" customWidth="1"/>
    <col min="7" max="7" width="15.33203125" customWidth="1"/>
    <col min="8" max="8" width="16.5" customWidth="1"/>
    <col min="9" max="9" width="12.5" customWidth="1"/>
    <col min="10" max="10" width="11.6640625" customWidth="1"/>
  </cols>
  <sheetData>
    <row r="1" spans="1:8">
      <c r="A1"/>
      <c r="B1" s="102"/>
      <c r="C1" s="102"/>
      <c r="D1" s="102"/>
      <c r="E1" s="102"/>
      <c r="F1" s="102"/>
      <c r="G1" s="102"/>
      <c r="H1" s="102"/>
    </row>
    <row r="2" spans="1:8">
      <c r="A2"/>
      <c r="B2" s="102"/>
      <c r="C2" s="102"/>
      <c r="D2" s="102"/>
      <c r="E2" s="102"/>
      <c r="F2" s="102"/>
      <c r="G2" s="102"/>
      <c r="H2" s="102"/>
    </row>
    <row r="3" spans="1:8">
      <c r="A3"/>
      <c r="B3" s="102"/>
      <c r="C3" s="102"/>
      <c r="D3" s="102"/>
      <c r="E3" s="102"/>
      <c r="F3" s="102"/>
      <c r="G3" s="102"/>
      <c r="H3" s="102"/>
    </row>
    <row r="4" spans="1:8">
      <c r="A4"/>
      <c r="B4" s="102"/>
      <c r="C4" s="102"/>
      <c r="D4" s="102"/>
      <c r="E4" s="102"/>
      <c r="F4" s="102"/>
      <c r="G4" s="102"/>
      <c r="H4" s="102"/>
    </row>
    <row r="5" spans="1:8">
      <c r="A5" s="27"/>
      <c r="B5" s="102"/>
      <c r="C5" s="102"/>
      <c r="D5" s="102"/>
      <c r="E5" s="102"/>
      <c r="F5" s="102"/>
      <c r="G5" s="102"/>
      <c r="H5" s="102"/>
    </row>
    <row r="6" spans="1:8">
      <c r="A6" s="27"/>
      <c r="B6" s="102"/>
      <c r="C6" s="102"/>
      <c r="D6" s="102"/>
      <c r="E6" s="102"/>
      <c r="F6" s="102"/>
      <c r="G6" s="102"/>
      <c r="H6" s="102"/>
    </row>
    <row r="7" spans="1:8">
      <c r="A7" s="27"/>
      <c r="B7" s="102"/>
      <c r="C7" s="102"/>
      <c r="D7" s="102"/>
      <c r="E7" s="102"/>
      <c r="F7" s="102"/>
      <c r="G7" s="102"/>
      <c r="H7" s="102"/>
    </row>
    <row r="8" spans="1:8">
      <c r="A8" s="32"/>
      <c r="B8" s="102" t="s">
        <v>188</v>
      </c>
      <c r="C8" s="102" t="s">
        <v>189</v>
      </c>
      <c r="D8" s="102" t="s">
        <v>190</v>
      </c>
      <c r="E8" s="102" t="s">
        <v>191</v>
      </c>
      <c r="F8" s="102" t="s">
        <v>192</v>
      </c>
      <c r="G8" s="102" t="s">
        <v>193</v>
      </c>
      <c r="H8" s="102" t="s">
        <v>194</v>
      </c>
    </row>
    <row r="9" spans="1:8" ht="15" thickBot="1">
      <c r="A9" s="35" t="s">
        <v>35</v>
      </c>
      <c r="B9" s="102" t="s">
        <v>105</v>
      </c>
      <c r="C9" s="102" t="s">
        <v>105</v>
      </c>
      <c r="D9" s="102" t="s">
        <v>105</v>
      </c>
      <c r="E9" s="102" t="s">
        <v>105</v>
      </c>
      <c r="F9" s="102" t="s">
        <v>105</v>
      </c>
      <c r="G9" s="102" t="s">
        <v>105</v>
      </c>
      <c r="H9" s="102" t="s">
        <v>105</v>
      </c>
    </row>
    <row r="10" spans="1:8">
      <c r="A10" s="37" t="s">
        <v>119</v>
      </c>
      <c r="B10" s="102">
        <v>52838746.309576377</v>
      </c>
      <c r="C10" s="102">
        <v>52869287.852626406</v>
      </c>
      <c r="D10" s="102">
        <v>52957303.379959606</v>
      </c>
      <c r="E10" s="102">
        <v>53972952.541269638</v>
      </c>
      <c r="F10" s="102">
        <v>54948439.466748424</v>
      </c>
      <c r="G10" s="102">
        <v>56008828.891775072</v>
      </c>
      <c r="H10" s="102">
        <v>57081742.38471058</v>
      </c>
    </row>
    <row r="11" spans="1:8">
      <c r="A11" s="37" t="s">
        <v>36</v>
      </c>
      <c r="B11" s="102">
        <v>44509181.111939318</v>
      </c>
      <c r="C11" s="102">
        <v>46261549.305932835</v>
      </c>
      <c r="D11" s="102">
        <v>46632057.751881585</v>
      </c>
      <c r="E11" s="102">
        <v>47571534.544030532</v>
      </c>
      <c r="F11" s="102">
        <v>48439934.325085573</v>
      </c>
      <c r="G11" s="102">
        <v>49420098.712159462</v>
      </c>
      <c r="H11" s="102">
        <v>50408506.730789721</v>
      </c>
    </row>
    <row r="12" spans="1:8">
      <c r="A12" s="37" t="s">
        <v>37</v>
      </c>
      <c r="B12" s="102">
        <v>825834.44998067222</v>
      </c>
      <c r="C12" s="102">
        <v>826013.16582843661</v>
      </c>
      <c r="D12" s="102">
        <v>826228.36280690227</v>
      </c>
      <c r="E12" s="102">
        <v>833343.4259763055</v>
      </c>
      <c r="F12" s="102">
        <v>840495.86241659743</v>
      </c>
      <c r="G12" s="102">
        <v>847930.98093973729</v>
      </c>
      <c r="H12" s="102">
        <v>855375.22065085475</v>
      </c>
    </row>
    <row r="13" spans="1:8">
      <c r="A13" s="37" t="s">
        <v>38</v>
      </c>
      <c r="B13" s="102">
        <v>107526626.92416336</v>
      </c>
      <c r="C13" s="102">
        <v>107566052.63235301</v>
      </c>
      <c r="D13" s="102">
        <v>107749444.9632421</v>
      </c>
      <c r="E13" s="102">
        <v>110032143.95797206</v>
      </c>
      <c r="F13" s="102">
        <v>112399306.33189571</v>
      </c>
      <c r="G13" s="102">
        <v>114821080.97792242</v>
      </c>
      <c r="H13" s="102">
        <v>117247342.50471057</v>
      </c>
    </row>
    <row r="14" spans="1:8">
      <c r="A14" s="37" t="s">
        <v>39</v>
      </c>
      <c r="B14" s="102">
        <v>30744550.881246865</v>
      </c>
      <c r="C14" s="102">
        <v>30765398.668597113</v>
      </c>
      <c r="D14" s="102">
        <v>30821718.375510424</v>
      </c>
      <c r="E14" s="102">
        <v>31464225.24734332</v>
      </c>
      <c r="F14" s="102">
        <v>32048811.343662858</v>
      </c>
      <c r="G14" s="102">
        <v>32718954.688014597</v>
      </c>
      <c r="H14" s="102">
        <v>33395941.192857858</v>
      </c>
    </row>
    <row r="15" spans="1:8">
      <c r="A15" s="37" t="s">
        <v>120</v>
      </c>
      <c r="B15" s="102">
        <v>1253984979.867434</v>
      </c>
      <c r="C15" s="102">
        <v>1257141731.194284</v>
      </c>
      <c r="D15" s="102">
        <v>1264028288.9244971</v>
      </c>
      <c r="E15" s="102">
        <v>1290866552.4364085</v>
      </c>
      <c r="F15" s="102">
        <v>1317777817.5898294</v>
      </c>
      <c r="G15" s="102">
        <v>1346032442.255029</v>
      </c>
      <c r="H15" s="102">
        <v>1374487948.6625528</v>
      </c>
    </row>
    <row r="16" spans="1:8">
      <c r="A16" s="37" t="s">
        <v>40</v>
      </c>
      <c r="B16" s="102">
        <v>111531890.7196829</v>
      </c>
      <c r="C16" s="102">
        <v>111663554.6983918</v>
      </c>
      <c r="D16" s="102">
        <v>111996335.29680239</v>
      </c>
      <c r="E16" s="102">
        <v>114379451.71632585</v>
      </c>
      <c r="F16" s="102">
        <v>117073732.41173518</v>
      </c>
      <c r="G16" s="102">
        <v>119582941.91842374</v>
      </c>
      <c r="H16" s="102">
        <v>122118058.58536142</v>
      </c>
    </row>
    <row r="17" spans="1:8">
      <c r="A17" s="37" t="s">
        <v>121</v>
      </c>
      <c r="B17" s="102">
        <v>157663158.95948723</v>
      </c>
      <c r="C17" s="102">
        <v>132625631.4647288</v>
      </c>
      <c r="D17" s="102">
        <v>133616403.35342635</v>
      </c>
      <c r="E17" s="102">
        <v>136386002.73712713</v>
      </c>
      <c r="F17" s="102">
        <v>139605235.16050336</v>
      </c>
      <c r="G17" s="102">
        <v>142521263.53033066</v>
      </c>
      <c r="H17" s="102">
        <v>145461367.45541102</v>
      </c>
    </row>
    <row r="18" spans="1:8">
      <c r="A18" s="37" t="s">
        <v>41</v>
      </c>
      <c r="B18" s="102">
        <v>24593443.547752906</v>
      </c>
      <c r="C18" s="102">
        <v>19586834.12320938</v>
      </c>
      <c r="D18" s="102">
        <v>19606226.691633206</v>
      </c>
      <c r="E18" s="102">
        <v>19998814.990708709</v>
      </c>
      <c r="F18" s="102">
        <v>20473265.647388283</v>
      </c>
      <c r="G18" s="102">
        <v>20885143.749424007</v>
      </c>
      <c r="H18" s="102">
        <v>21304472.250910673</v>
      </c>
    </row>
    <row r="19" spans="1:8">
      <c r="A19" s="37" t="s">
        <v>42</v>
      </c>
      <c r="B19" s="102">
        <v>168198179.36634091</v>
      </c>
      <c r="C19" s="102">
        <v>177810897.12647948</v>
      </c>
      <c r="D19" s="102">
        <v>180547062.63395181</v>
      </c>
      <c r="E19" s="102">
        <v>184225730.83439487</v>
      </c>
      <c r="F19" s="102">
        <v>187747572.43829742</v>
      </c>
      <c r="G19" s="102">
        <v>191657986.23609188</v>
      </c>
      <c r="H19" s="102">
        <v>195514320.03740859</v>
      </c>
    </row>
    <row r="20" spans="1:8">
      <c r="A20" s="37" t="s">
        <v>43</v>
      </c>
      <c r="B20" s="102">
        <v>360848078.34133577</v>
      </c>
      <c r="C20" s="102">
        <v>361224528.69437546</v>
      </c>
      <c r="D20" s="102">
        <v>362409006.3162232</v>
      </c>
      <c r="E20" s="102">
        <v>370191795.13450748</v>
      </c>
      <c r="F20" s="102">
        <v>377161155.33862376</v>
      </c>
      <c r="G20" s="102">
        <v>385293867.93866926</v>
      </c>
      <c r="H20" s="102">
        <v>393539988.14926553</v>
      </c>
    </row>
    <row r="21" spans="1:8">
      <c r="A21" s="37" t="s">
        <v>44</v>
      </c>
      <c r="B21" s="102">
        <v>174055050.96458936</v>
      </c>
      <c r="C21" s="102">
        <v>174541566.81371617</v>
      </c>
      <c r="D21" s="102">
        <v>175472301.74199545</v>
      </c>
      <c r="E21" s="102">
        <v>179168519.52365783</v>
      </c>
      <c r="F21" s="102">
        <v>183074945.1654166</v>
      </c>
      <c r="G21" s="102">
        <v>186987503.17148307</v>
      </c>
      <c r="H21" s="102">
        <v>190902651.17017186</v>
      </c>
    </row>
    <row r="22" spans="1:8">
      <c r="A22" s="37" t="s">
        <v>45</v>
      </c>
      <c r="B22" s="102">
        <v>1353129.7784506138</v>
      </c>
      <c r="C22" s="102">
        <v>1353806.3948297384</v>
      </c>
      <c r="D22" s="102">
        <v>1354621.1283542095</v>
      </c>
      <c r="E22" s="102">
        <v>1373261.0020739255</v>
      </c>
      <c r="F22" s="102">
        <v>1391998.7563684215</v>
      </c>
      <c r="G22" s="102">
        <v>1411477.1210949346</v>
      </c>
      <c r="H22" s="102">
        <v>1430979.3261169051</v>
      </c>
    </row>
    <row r="23" spans="1:8">
      <c r="A23" s="37" t="s">
        <v>46</v>
      </c>
      <c r="B23" s="102">
        <v>41053995.820903264</v>
      </c>
      <c r="C23" s="102">
        <v>41078206.774536945</v>
      </c>
      <c r="D23" s="102">
        <v>41137592.588359773</v>
      </c>
      <c r="E23" s="102">
        <v>42016607.829359092</v>
      </c>
      <c r="F23" s="102">
        <v>43272851.502205394</v>
      </c>
      <c r="G23" s="102">
        <v>44213020.030413345</v>
      </c>
      <c r="H23" s="102">
        <v>45155457.46836172</v>
      </c>
    </row>
    <row r="24" spans="1:8">
      <c r="A24" s="37" t="s">
        <v>47</v>
      </c>
      <c r="B24" s="102">
        <v>23242375.640375413</v>
      </c>
      <c r="C24" s="102">
        <v>23247712.042750396</v>
      </c>
      <c r="D24" s="102">
        <v>23277731.168483071</v>
      </c>
      <c r="E24" s="102">
        <v>23735507.457223278</v>
      </c>
      <c r="F24" s="102">
        <v>24145496.035316158</v>
      </c>
      <c r="G24" s="102">
        <v>24622827.224222682</v>
      </c>
      <c r="H24" s="102">
        <v>25105645.733202249</v>
      </c>
    </row>
    <row r="25" spans="1:8">
      <c r="A25" s="37" t="s">
        <v>122</v>
      </c>
      <c r="B25" s="102">
        <v>537023177.96849132</v>
      </c>
      <c r="C25" s="102">
        <v>539186557.30837429</v>
      </c>
      <c r="D25" s="102">
        <v>543391187.90323317</v>
      </c>
      <c r="E25" s="102">
        <v>554720553.90970361</v>
      </c>
      <c r="F25" s="102">
        <v>566034619.45067132</v>
      </c>
      <c r="G25" s="102">
        <v>577871905.07110143</v>
      </c>
      <c r="H25" s="102">
        <v>589852292.51733613</v>
      </c>
    </row>
    <row r="26" spans="1:8">
      <c r="A26" s="37" t="s">
        <v>48</v>
      </c>
      <c r="B26" s="102">
        <v>87621924.115436286</v>
      </c>
      <c r="C26" s="102">
        <v>87689042.785080031</v>
      </c>
      <c r="D26" s="102">
        <v>87850336.935862854</v>
      </c>
      <c r="E26" s="102">
        <v>89718786.08314921</v>
      </c>
      <c r="F26" s="102">
        <v>92063709.149684697</v>
      </c>
      <c r="G26" s="102">
        <v>94025758.684799522</v>
      </c>
      <c r="H26" s="102">
        <v>96017390.575671867</v>
      </c>
    </row>
    <row r="27" spans="1:8">
      <c r="A27" s="37" t="s">
        <v>49</v>
      </c>
      <c r="B27" s="102">
        <v>38625979.515492029</v>
      </c>
      <c r="C27" s="102">
        <v>38674111.3823727</v>
      </c>
      <c r="D27" s="102">
        <v>38727395.029221646</v>
      </c>
      <c r="E27" s="102">
        <v>39543311.225342445</v>
      </c>
      <c r="F27" s="102">
        <v>40990827.487706505</v>
      </c>
      <c r="G27" s="102">
        <v>41856319.755748712</v>
      </c>
      <c r="H27" s="102">
        <v>42732870.82036075</v>
      </c>
    </row>
    <row r="28" spans="1:8">
      <c r="A28" s="37" t="s">
        <v>50</v>
      </c>
      <c r="B28" s="102">
        <v>34721200.398984671</v>
      </c>
      <c r="C28" s="102">
        <v>34738500.154497832</v>
      </c>
      <c r="D28" s="102">
        <v>34785609.9214039</v>
      </c>
      <c r="E28" s="102">
        <v>35513826.189595833</v>
      </c>
      <c r="F28" s="102">
        <v>36364072.747471139</v>
      </c>
      <c r="G28" s="102">
        <v>37127463.734848119</v>
      </c>
      <c r="H28" s="102">
        <v>37900358.418985926</v>
      </c>
    </row>
    <row r="29" spans="1:8">
      <c r="A29" s="37" t="s">
        <v>51</v>
      </c>
      <c r="B29" s="102">
        <v>51536662.564613424</v>
      </c>
      <c r="C29" s="102">
        <v>51560703.019895256</v>
      </c>
      <c r="D29" s="102">
        <v>51635626.987645417</v>
      </c>
      <c r="E29" s="102">
        <v>52695732.756537147</v>
      </c>
      <c r="F29" s="102">
        <v>53773844.787865885</v>
      </c>
      <c r="G29" s="102">
        <v>54881879.615518734</v>
      </c>
      <c r="H29" s="102">
        <v>56003219.599216305</v>
      </c>
    </row>
    <row r="30" spans="1:8">
      <c r="A30" s="37" t="s">
        <v>52</v>
      </c>
      <c r="B30" s="102">
        <v>59629607.262254879</v>
      </c>
      <c r="C30" s="102">
        <v>59680323.353728272</v>
      </c>
      <c r="D30" s="102">
        <v>59839432.020280071</v>
      </c>
      <c r="E30" s="102">
        <v>61107770.09972202</v>
      </c>
      <c r="F30" s="102">
        <v>62209972.802943178</v>
      </c>
      <c r="G30" s="102">
        <v>63537665.049478158</v>
      </c>
      <c r="H30" s="102">
        <v>64877534.077449903</v>
      </c>
    </row>
    <row r="31" spans="1:8">
      <c r="A31" s="37" t="s">
        <v>53</v>
      </c>
      <c r="B31" s="102">
        <v>30348164.891637016</v>
      </c>
      <c r="C31" s="102">
        <v>30424326.226409774</v>
      </c>
      <c r="D31" s="102">
        <v>30570804.394722778</v>
      </c>
      <c r="E31" s="102">
        <v>31185839.235522088</v>
      </c>
      <c r="F31" s="102">
        <v>31939787.072454505</v>
      </c>
      <c r="G31" s="102">
        <v>32585265.875297863</v>
      </c>
      <c r="H31" s="102">
        <v>33237901.944392242</v>
      </c>
    </row>
    <row r="32" spans="1:8">
      <c r="A32" s="37" t="s">
        <v>54</v>
      </c>
      <c r="B32" s="102">
        <v>230324428.92788523</v>
      </c>
      <c r="C32" s="102">
        <v>196244702.39441743</v>
      </c>
      <c r="D32" s="102">
        <v>197304636.91767889</v>
      </c>
      <c r="E32" s="102">
        <v>201432604.04458633</v>
      </c>
      <c r="F32" s="102">
        <v>205089337.54277483</v>
      </c>
      <c r="G32" s="102">
        <v>209392794.89664072</v>
      </c>
      <c r="H32" s="102">
        <v>213759199.19656411</v>
      </c>
    </row>
    <row r="33" spans="1:8">
      <c r="A33" s="37" t="s">
        <v>55</v>
      </c>
      <c r="B33" s="102">
        <v>339311760.67416304</v>
      </c>
      <c r="C33" s="102">
        <v>291398359.96611458</v>
      </c>
      <c r="D33" s="102">
        <v>293722670.14469135</v>
      </c>
      <c r="E33" s="102">
        <v>299823870.32376653</v>
      </c>
      <c r="F33" s="102">
        <v>305485897.68746501</v>
      </c>
      <c r="G33" s="102">
        <v>311852466.87774354</v>
      </c>
      <c r="H33" s="102">
        <v>318296115.42815834</v>
      </c>
    </row>
    <row r="34" spans="1:8">
      <c r="A34" s="37" t="s">
        <v>56</v>
      </c>
      <c r="B34" s="102">
        <v>131602214.7955853</v>
      </c>
      <c r="C34" s="102">
        <v>131656930.45722061</v>
      </c>
      <c r="D34" s="102">
        <v>131881884.97799827</v>
      </c>
      <c r="E34" s="102">
        <v>134729844.5394899</v>
      </c>
      <c r="F34" s="102">
        <v>137773013.32780805</v>
      </c>
      <c r="G34" s="102">
        <v>140752734.01065409</v>
      </c>
      <c r="H34" s="102">
        <v>143777880.31388626</v>
      </c>
    </row>
    <row r="35" spans="1:8">
      <c r="A35" s="37" t="s">
        <v>57</v>
      </c>
      <c r="B35" s="102">
        <v>101583604.72167662</v>
      </c>
      <c r="C35" s="102">
        <v>101757985.21770914</v>
      </c>
      <c r="D35" s="102">
        <v>102070009.99166174</v>
      </c>
      <c r="E35" s="102">
        <v>104203952.12320346</v>
      </c>
      <c r="F35" s="102">
        <v>106721192.99633455</v>
      </c>
      <c r="G35" s="102">
        <v>109055828.12220775</v>
      </c>
      <c r="H35" s="102">
        <v>111327171.60756023</v>
      </c>
    </row>
    <row r="36" spans="1:8">
      <c r="A36" s="37" t="s">
        <v>58</v>
      </c>
      <c r="B36" s="102">
        <v>28244679.465637866</v>
      </c>
      <c r="C36" s="102">
        <v>28270335.370150588</v>
      </c>
      <c r="D36" s="102">
        <v>28311834.417183239</v>
      </c>
      <c r="E36" s="102">
        <v>28878029.317746703</v>
      </c>
      <c r="F36" s="102">
        <v>29541797.438940909</v>
      </c>
      <c r="G36" s="102">
        <v>30135399.549018584</v>
      </c>
      <c r="H36" s="102">
        <v>30733819.198361564</v>
      </c>
    </row>
    <row r="37" spans="1:8">
      <c r="A37" s="37" t="s">
        <v>59</v>
      </c>
      <c r="B37" s="102">
        <v>94320943.120430261</v>
      </c>
      <c r="C37" s="102">
        <v>94497065.933278888</v>
      </c>
      <c r="D37" s="102">
        <v>94876993.026102483</v>
      </c>
      <c r="E37" s="102">
        <v>96886142.822707966</v>
      </c>
      <c r="F37" s="102">
        <v>99000284.131035164</v>
      </c>
      <c r="G37" s="102">
        <v>101102044.93089771</v>
      </c>
      <c r="H37" s="102">
        <v>103229452.86065446</v>
      </c>
    </row>
    <row r="38" spans="1:8">
      <c r="A38" s="37" t="s">
        <v>123</v>
      </c>
      <c r="B38" s="102">
        <v>19129871.145465404</v>
      </c>
      <c r="C38" s="102">
        <v>19147490.413488291</v>
      </c>
      <c r="D38" s="102">
        <v>19164690.895529903</v>
      </c>
      <c r="E38" s="102">
        <v>19519495.289080836</v>
      </c>
      <c r="F38" s="102">
        <v>20057165.567195158</v>
      </c>
      <c r="G38" s="102">
        <v>20431643.405800048</v>
      </c>
      <c r="H38" s="102">
        <v>20808806.09278148</v>
      </c>
    </row>
    <row r="39" spans="1:8">
      <c r="A39" s="37" t="s">
        <v>60</v>
      </c>
      <c r="B39" s="102">
        <v>811989.63611457823</v>
      </c>
      <c r="C39" s="102">
        <v>812130.85367617453</v>
      </c>
      <c r="D39" s="102">
        <v>812300.89787819667</v>
      </c>
      <c r="E39" s="102">
        <v>819114.80072766286</v>
      </c>
      <c r="F39" s="102">
        <v>825964.49867945339</v>
      </c>
      <c r="G39" s="102">
        <v>833084.90724435193</v>
      </c>
      <c r="H39" s="102">
        <v>840214.05855287029</v>
      </c>
    </row>
    <row r="40" spans="1:8">
      <c r="A40" s="37" t="s">
        <v>61</v>
      </c>
      <c r="B40" s="102">
        <v>23591336.991966181</v>
      </c>
      <c r="C40" s="102">
        <v>23593362.971481062</v>
      </c>
      <c r="D40" s="102">
        <v>23621720.346306216</v>
      </c>
      <c r="E40" s="102">
        <v>24100144.285724759</v>
      </c>
      <c r="F40" s="102">
        <v>24537165.164299224</v>
      </c>
      <c r="G40" s="102">
        <v>25036201.078246225</v>
      </c>
      <c r="H40" s="102">
        <v>25541208.453184806</v>
      </c>
    </row>
    <row r="41" spans="1:8">
      <c r="A41" s="37" t="s">
        <v>62</v>
      </c>
      <c r="B41" s="102">
        <v>57172865.618546136</v>
      </c>
      <c r="C41" s="102">
        <v>57170088.350725532</v>
      </c>
      <c r="D41" s="102">
        <v>57264254.244583696</v>
      </c>
      <c r="E41" s="102">
        <v>58478654.664831407</v>
      </c>
      <c r="F41" s="102">
        <v>59499671.673329048</v>
      </c>
      <c r="G41" s="102">
        <v>60764571.932538502</v>
      </c>
      <c r="H41" s="102">
        <v>62050220.838844396</v>
      </c>
    </row>
    <row r="42" spans="1:8">
      <c r="A42" s="37" t="s">
        <v>63</v>
      </c>
      <c r="B42" s="102">
        <v>15671744.11582025</v>
      </c>
      <c r="C42" s="102">
        <v>15677330.621364404</v>
      </c>
      <c r="D42" s="102">
        <v>15700871.989640657</v>
      </c>
      <c r="E42" s="102">
        <v>16013373.767340232</v>
      </c>
      <c r="F42" s="102">
        <v>16287647.588931397</v>
      </c>
      <c r="G42" s="102">
        <v>16613382.331443777</v>
      </c>
      <c r="H42" s="102">
        <v>16943378.391818624</v>
      </c>
    </row>
    <row r="43" spans="1:8">
      <c r="A43" s="37" t="s">
        <v>64</v>
      </c>
      <c r="B43" s="102">
        <v>573263437.00570142</v>
      </c>
      <c r="C43" s="102">
        <v>496369751.52034575</v>
      </c>
      <c r="D43" s="102">
        <v>499247928.54279065</v>
      </c>
      <c r="E43" s="102">
        <v>509679386.05695426</v>
      </c>
      <c r="F43" s="102">
        <v>518688832.26468939</v>
      </c>
      <c r="G43" s="102">
        <v>529559007.48299593</v>
      </c>
      <c r="H43" s="102">
        <v>540592571.91734529</v>
      </c>
    </row>
    <row r="44" spans="1:8">
      <c r="A44" s="37" t="s">
        <v>65</v>
      </c>
      <c r="B44" s="102">
        <v>43810139.300064571</v>
      </c>
      <c r="C44" s="102">
        <v>43843293.861321285</v>
      </c>
      <c r="D44" s="102">
        <v>43951327.809103586</v>
      </c>
      <c r="E44" s="102">
        <v>44853492.006388173</v>
      </c>
      <c r="F44" s="102">
        <v>45774861.298500896</v>
      </c>
      <c r="G44" s="102">
        <v>46717891.200102299</v>
      </c>
      <c r="H44" s="102">
        <v>47673574.704781935</v>
      </c>
    </row>
    <row r="45" spans="1:8">
      <c r="A45" s="37" t="s">
        <v>66</v>
      </c>
      <c r="B45" s="102">
        <v>1342157884.125746</v>
      </c>
      <c r="C45" s="102">
        <v>1286614738.4939058</v>
      </c>
      <c r="D45" s="102">
        <v>1298094548.5568552</v>
      </c>
      <c r="E45" s="102">
        <v>1325067993.790787</v>
      </c>
      <c r="F45" s="102">
        <v>1349621639.3066869</v>
      </c>
      <c r="G45" s="102">
        <v>1377854093.4095845</v>
      </c>
      <c r="H45" s="102">
        <v>1406305465.2394774</v>
      </c>
    </row>
    <row r="46" spans="1:8">
      <c r="A46" s="37" t="s">
        <v>67</v>
      </c>
      <c r="B46" s="102">
        <v>114759872.95171516</v>
      </c>
      <c r="C46" s="102">
        <v>114787836.71913178</v>
      </c>
      <c r="D46" s="102">
        <v>114969564.46085863</v>
      </c>
      <c r="E46" s="102">
        <v>117401311.52274051</v>
      </c>
      <c r="F46" s="102">
        <v>119647656.11234587</v>
      </c>
      <c r="G46" s="102">
        <v>122190356.46167417</v>
      </c>
      <c r="H46" s="102">
        <v>124762736.70726599</v>
      </c>
    </row>
    <row r="47" spans="1:8">
      <c r="A47" s="37" t="s">
        <v>68</v>
      </c>
      <c r="B47" s="102">
        <v>13689173.595636988</v>
      </c>
      <c r="C47" s="102">
        <v>13704286.056741061</v>
      </c>
      <c r="D47" s="102">
        <v>13717063.217588877</v>
      </c>
      <c r="E47" s="102">
        <v>13971978.729708711</v>
      </c>
      <c r="F47" s="102">
        <v>14449046.343701398</v>
      </c>
      <c r="G47" s="102">
        <v>14719959.345294805</v>
      </c>
      <c r="H47" s="102">
        <v>14993697.731344139</v>
      </c>
    </row>
    <row r="48" spans="1:8">
      <c r="A48" s="37" t="s">
        <v>124</v>
      </c>
      <c r="B48" s="102">
        <v>174852835.74649885</v>
      </c>
      <c r="C48" s="102">
        <v>175101634.0210624</v>
      </c>
      <c r="D48" s="102">
        <v>175747530.4672904</v>
      </c>
      <c r="E48" s="102">
        <v>179481005.40701482</v>
      </c>
      <c r="F48" s="102">
        <v>182883545.73020875</v>
      </c>
      <c r="G48" s="102">
        <v>186789530.49121714</v>
      </c>
      <c r="H48" s="102">
        <v>190737720.25232464</v>
      </c>
    </row>
    <row r="49" spans="1:8">
      <c r="A49" s="37" t="s">
        <v>69</v>
      </c>
      <c r="B49" s="102">
        <v>47171865.076667719</v>
      </c>
      <c r="C49" s="102">
        <v>47187489.413757034</v>
      </c>
      <c r="D49" s="102">
        <v>47248999.044902958</v>
      </c>
      <c r="E49" s="102">
        <v>48080686.449914254</v>
      </c>
      <c r="F49" s="102">
        <v>48831107.236538492</v>
      </c>
      <c r="G49" s="102">
        <v>49698437.870125569</v>
      </c>
      <c r="H49" s="102">
        <v>50575326.922613308</v>
      </c>
    </row>
    <row r="50" spans="1:8">
      <c r="A50" s="37" t="s">
        <v>70</v>
      </c>
      <c r="B50" s="102">
        <v>93960862.60211499</v>
      </c>
      <c r="C50" s="102">
        <v>94142548.980685517</v>
      </c>
      <c r="D50" s="102">
        <v>94548055.611438394</v>
      </c>
      <c r="E50" s="102">
        <v>96529550.902194947</v>
      </c>
      <c r="F50" s="102">
        <v>98481409.684699431</v>
      </c>
      <c r="G50" s="102">
        <v>100552690.43093672</v>
      </c>
      <c r="H50" s="102">
        <v>102650075.31817444</v>
      </c>
    </row>
    <row r="51" spans="1:8">
      <c r="A51" s="37" t="s">
        <v>71</v>
      </c>
      <c r="B51" s="102">
        <v>387365824.90586275</v>
      </c>
      <c r="C51" s="102">
        <v>388931651.66205704</v>
      </c>
      <c r="D51" s="102">
        <v>391910030.66257811</v>
      </c>
      <c r="E51" s="102">
        <v>400021472.45793611</v>
      </c>
      <c r="F51" s="102">
        <v>409031439.92417765</v>
      </c>
      <c r="G51" s="102">
        <v>417529069.94774735</v>
      </c>
      <c r="H51" s="102">
        <v>426119599.00901788</v>
      </c>
    </row>
    <row r="52" spans="1:8">
      <c r="A52" s="37" t="s">
        <v>72</v>
      </c>
      <c r="B52" s="102">
        <v>67260622.84324491</v>
      </c>
      <c r="C52" s="102">
        <v>67396161.901858032</v>
      </c>
      <c r="D52" s="102">
        <v>67626436.646932185</v>
      </c>
      <c r="E52" s="102">
        <v>69072651.103224084</v>
      </c>
      <c r="F52" s="102">
        <v>71025786.502060413</v>
      </c>
      <c r="G52" s="102">
        <v>72547284.465954378</v>
      </c>
      <c r="H52" s="102">
        <v>74093358.968154833</v>
      </c>
    </row>
    <row r="53" spans="1:8">
      <c r="A53" s="37" t="s">
        <v>125</v>
      </c>
      <c r="B53" s="102">
        <v>36370776.718488581</v>
      </c>
      <c r="C53" s="102">
        <v>27604371.012774486</v>
      </c>
      <c r="D53" s="102">
        <v>27695085.810093693</v>
      </c>
      <c r="E53" s="102">
        <v>28256636.564725973</v>
      </c>
      <c r="F53" s="102">
        <v>28725215.701380614</v>
      </c>
      <c r="G53" s="102">
        <v>29310044.798601039</v>
      </c>
      <c r="H53" s="102">
        <v>29904670.37075736</v>
      </c>
    </row>
    <row r="54" spans="1:8">
      <c r="A54" s="37" t="s">
        <v>73</v>
      </c>
      <c r="B54" s="102">
        <v>46830050.116782852</v>
      </c>
      <c r="C54" s="102">
        <v>46853125.573095992</v>
      </c>
      <c r="D54" s="102">
        <v>46937710.000574209</v>
      </c>
      <c r="E54" s="102">
        <v>47923956.331418194</v>
      </c>
      <c r="F54" s="102">
        <v>48865287.051917776</v>
      </c>
      <c r="G54" s="102">
        <v>49894855.191903912</v>
      </c>
      <c r="H54" s="102">
        <v>50937533.358148672</v>
      </c>
    </row>
    <row r="55" spans="1:8">
      <c r="A55" s="37" t="s">
        <v>74</v>
      </c>
      <c r="B55" s="102">
        <v>15500615.732969012</v>
      </c>
      <c r="C55" s="102">
        <v>15508726.242129156</v>
      </c>
      <c r="D55" s="102">
        <v>15522436.85227851</v>
      </c>
      <c r="E55" s="102">
        <v>15783973.702325048</v>
      </c>
      <c r="F55" s="102">
        <v>16098609.422823735</v>
      </c>
      <c r="G55" s="102">
        <v>16372969.294913307</v>
      </c>
      <c r="H55" s="102">
        <v>16649584.126122927</v>
      </c>
    </row>
    <row r="56" spans="1:8">
      <c r="A56" s="37" t="s">
        <v>75</v>
      </c>
      <c r="B56" s="102">
        <v>85414173.837452203</v>
      </c>
      <c r="C56" s="102">
        <v>85461861.010895178</v>
      </c>
      <c r="D56" s="102">
        <v>85646101.996331975</v>
      </c>
      <c r="E56" s="102">
        <v>87439590.266425401</v>
      </c>
      <c r="F56" s="102">
        <v>89066098.42823346</v>
      </c>
      <c r="G56" s="102">
        <v>90936612.275093704</v>
      </c>
      <c r="H56" s="102">
        <v>92833071.674661919</v>
      </c>
    </row>
    <row r="57" spans="1:8">
      <c r="A57" s="37" t="s">
        <v>76</v>
      </c>
      <c r="B57" s="102">
        <v>415592412.47129476</v>
      </c>
      <c r="C57" s="102">
        <v>415867964.51718849</v>
      </c>
      <c r="D57" s="102">
        <v>416891004.29905254</v>
      </c>
      <c r="E57" s="102">
        <v>425884731.68796718</v>
      </c>
      <c r="F57" s="102">
        <v>433597675.46688181</v>
      </c>
      <c r="G57" s="102">
        <v>443096076.4527092</v>
      </c>
      <c r="H57" s="102">
        <v>452617817.14953172</v>
      </c>
    </row>
    <row r="58" spans="1:8">
      <c r="A58" s="37" t="s">
        <v>77</v>
      </c>
      <c r="B58" s="102">
        <v>70692670.568050548</v>
      </c>
      <c r="C58" s="102">
        <v>70754181.006417915</v>
      </c>
      <c r="D58" s="102">
        <v>70940064.475986153</v>
      </c>
      <c r="E58" s="102">
        <v>72424926.860890403</v>
      </c>
      <c r="F58" s="102">
        <v>73861366.881809339</v>
      </c>
      <c r="G58" s="102">
        <v>75426044.057269409</v>
      </c>
      <c r="H58" s="102">
        <v>77002159.328816906</v>
      </c>
    </row>
    <row r="59" spans="1:8">
      <c r="A59" s="37" t="s">
        <v>126</v>
      </c>
      <c r="B59" s="102">
        <v>8370585.2369895615</v>
      </c>
      <c r="C59" s="102">
        <v>8392817.7701104991</v>
      </c>
      <c r="D59" s="102">
        <v>8401812.8922205325</v>
      </c>
      <c r="E59" s="102">
        <v>8555645.3377785161</v>
      </c>
      <c r="F59" s="102">
        <v>9036614.8521645945</v>
      </c>
      <c r="G59" s="102">
        <v>9204066.1269929204</v>
      </c>
      <c r="H59" s="102">
        <v>9373047.4791132789</v>
      </c>
    </row>
    <row r="60" spans="1:8">
      <c r="A60" s="37" t="s">
        <v>127</v>
      </c>
      <c r="B60" s="102">
        <v>1843783.1673340281</v>
      </c>
      <c r="C60" s="102">
        <v>1845096.7286460798</v>
      </c>
      <c r="D60" s="102">
        <v>1848526.2535757381</v>
      </c>
      <c r="E60" s="102">
        <v>1877943.5429000859</v>
      </c>
      <c r="F60" s="102">
        <v>1901863.9186995048</v>
      </c>
      <c r="G60" s="102">
        <v>1932488.0699299772</v>
      </c>
      <c r="H60" s="102">
        <v>1963663.670902591</v>
      </c>
    </row>
    <row r="61" spans="1:8">
      <c r="A61" s="37" t="s">
        <v>78</v>
      </c>
      <c r="B61" s="102">
        <v>161234228.21724939</v>
      </c>
      <c r="C61" s="102">
        <v>161273511.06315646</v>
      </c>
      <c r="D61" s="102">
        <v>161456558.42177168</v>
      </c>
      <c r="E61" s="102">
        <v>164878999.51939145</v>
      </c>
      <c r="F61" s="102">
        <v>169026974.82265499</v>
      </c>
      <c r="G61" s="102">
        <v>172639371.45522338</v>
      </c>
      <c r="H61" s="102">
        <v>176295028.69304544</v>
      </c>
    </row>
    <row r="62" spans="1:8">
      <c r="A62" s="37" t="s">
        <v>79</v>
      </c>
      <c r="B62" s="102">
        <v>231768948.02926096</v>
      </c>
      <c r="C62" s="102">
        <v>232603489.96454987</v>
      </c>
      <c r="D62" s="102">
        <v>233750389.77376533</v>
      </c>
      <c r="E62" s="102">
        <v>238677788.95861903</v>
      </c>
      <c r="F62" s="102">
        <v>244310899.34157228</v>
      </c>
      <c r="G62" s="102">
        <v>249686273.0443731</v>
      </c>
      <c r="H62" s="102">
        <v>254927913.30623299</v>
      </c>
    </row>
    <row r="63" spans="1:8">
      <c r="A63" s="37" t="s">
        <v>80</v>
      </c>
      <c r="B63" s="102">
        <v>24824408.331554729</v>
      </c>
      <c r="C63" s="102">
        <v>24882243.793472093</v>
      </c>
      <c r="D63" s="102">
        <v>24938642.190539274</v>
      </c>
      <c r="E63" s="102">
        <v>25408464.74475747</v>
      </c>
      <c r="F63" s="102">
        <v>26410556.426518008</v>
      </c>
      <c r="G63" s="102">
        <v>26912389.13845817</v>
      </c>
      <c r="H63" s="102">
        <v>27419606.877809789</v>
      </c>
    </row>
    <row r="64" spans="1:8">
      <c r="A64" s="37" t="s">
        <v>128</v>
      </c>
      <c r="B64" s="102">
        <v>80216786.922118753</v>
      </c>
      <c r="C64" s="102">
        <v>80277296.626331925</v>
      </c>
      <c r="D64" s="102">
        <v>80407746.042478338</v>
      </c>
      <c r="E64" s="102">
        <v>82093034.751898676</v>
      </c>
      <c r="F64" s="102">
        <v>84424943.244913787</v>
      </c>
      <c r="G64" s="102">
        <v>86199112.420938715</v>
      </c>
      <c r="H64" s="102">
        <v>87999281.33980374</v>
      </c>
    </row>
    <row r="65" spans="1:10">
      <c r="A65" s="37" t="s">
        <v>133</v>
      </c>
      <c r="B65" s="102">
        <v>10937600.008741822</v>
      </c>
      <c r="C65" s="102">
        <v>10941042.976491122</v>
      </c>
      <c r="D65" s="102">
        <v>10949767.152238818</v>
      </c>
      <c r="E65" s="102">
        <v>11158049.585632976</v>
      </c>
      <c r="F65" s="102">
        <v>11357322.295739811</v>
      </c>
      <c r="G65" s="102">
        <v>11574762.992738668</v>
      </c>
      <c r="H65" s="102">
        <v>11793449.046183279</v>
      </c>
    </row>
    <row r="66" spans="1:10">
      <c r="A66" s="37" t="s">
        <v>106</v>
      </c>
      <c r="B66" s="102">
        <v>0</v>
      </c>
      <c r="C66" s="102">
        <v>0</v>
      </c>
      <c r="D66" s="102">
        <v>0</v>
      </c>
      <c r="E66" s="102">
        <v>0</v>
      </c>
      <c r="F66" s="102">
        <v>0</v>
      </c>
      <c r="G66" s="102">
        <v>0</v>
      </c>
      <c r="H66" s="102">
        <v>0</v>
      </c>
    </row>
    <row r="67" spans="1:10" s="160" customFormat="1" ht="15" thickBot="1">
      <c r="A67" s="133" t="s">
        <v>107</v>
      </c>
      <c r="B67" s="159">
        <v>8482130936.1893997</v>
      </c>
      <c r="C67" s="159">
        <v>8251087238.1487513</v>
      </c>
      <c r="D67" s="159">
        <v>8296411914.8999996</v>
      </c>
      <c r="E67" s="159">
        <v>8470110758.638751</v>
      </c>
      <c r="F67" s="159">
        <v>8644715780.75</v>
      </c>
      <c r="G67" s="159">
        <v>8826225163.6800003</v>
      </c>
      <c r="H67" s="159">
        <v>9010159783.9578934</v>
      </c>
    </row>
    <row r="68" spans="1:10" ht="15" thickTop="1">
      <c r="A68" s="41" t="s">
        <v>108</v>
      </c>
      <c r="B68" s="102">
        <v>54195663.875</v>
      </c>
      <c r="C68" s="102">
        <v>57410252.818009101</v>
      </c>
      <c r="D68" s="102">
        <v>57732576.066759087</v>
      </c>
      <c r="E68" s="102">
        <v>58939096.150601298</v>
      </c>
      <c r="F68" s="102">
        <v>60151913.494747594</v>
      </c>
      <c r="G68" s="102">
        <v>61412685.577265032</v>
      </c>
      <c r="H68" s="102">
        <v>62691029.461447269</v>
      </c>
    </row>
    <row r="69" spans="1:10" s="101" customFormat="1">
      <c r="A69" s="41" t="s">
        <v>197</v>
      </c>
      <c r="B69" s="102"/>
      <c r="C69" s="102">
        <f t="shared" ref="C69:H69" si="0">C68-C84</f>
        <v>60853361.851248465</v>
      </c>
      <c r="D69" s="102">
        <f t="shared" si="0"/>
        <v>61175685.100000359</v>
      </c>
      <c r="E69" s="102">
        <f t="shared" si="0"/>
        <v>62349827.361248881</v>
      </c>
      <c r="F69" s="102">
        <f t="shared" si="0"/>
        <v>63530096.249998525</v>
      </c>
      <c r="G69" s="102">
        <f t="shared" si="0"/>
        <v>64757034.319999941</v>
      </c>
      <c r="H69" s="102">
        <f t="shared" si="0"/>
        <v>63779187.042107135</v>
      </c>
    </row>
    <row r="70" spans="1:10">
      <c r="A70" s="41"/>
      <c r="B70" s="102">
        <v>0</v>
      </c>
      <c r="C70" s="102">
        <v>0</v>
      </c>
      <c r="D70" s="102">
        <v>0</v>
      </c>
      <c r="E70" s="102">
        <v>0</v>
      </c>
      <c r="F70" s="102">
        <v>0</v>
      </c>
      <c r="G70" s="102">
        <v>0</v>
      </c>
      <c r="H70" s="102">
        <v>0</v>
      </c>
    </row>
    <row r="71" spans="1:10" s="160" customFormat="1" ht="15" thickBot="1">
      <c r="A71" s="135" t="s">
        <v>107</v>
      </c>
      <c r="B71" s="159">
        <v>8536326600.0643997</v>
      </c>
      <c r="C71" s="159">
        <v>8308497490.9667606</v>
      </c>
      <c r="D71" s="159">
        <v>8354144490.9667587</v>
      </c>
      <c r="E71" s="159">
        <v>8529049854.7893524</v>
      </c>
      <c r="F71" s="159">
        <v>8704867694.2447491</v>
      </c>
      <c r="G71" s="159">
        <v>8887637849.2572651</v>
      </c>
      <c r="H71" s="159">
        <v>9072850813.4193401</v>
      </c>
    </row>
    <row r="72" spans="1:10" ht="15" thickTop="1">
      <c r="A72" s="123" t="s">
        <v>109</v>
      </c>
      <c r="B72" s="102">
        <v>30000000</v>
      </c>
      <c r="C72" s="102">
        <v>30000000</v>
      </c>
      <c r="D72" s="102">
        <v>30000000</v>
      </c>
      <c r="E72" s="102">
        <v>30000000</v>
      </c>
      <c r="F72" s="102">
        <v>30000000</v>
      </c>
      <c r="G72" s="102">
        <v>30000000</v>
      </c>
      <c r="H72" s="102">
        <v>30000000</v>
      </c>
    </row>
    <row r="73" spans="1:10">
      <c r="A73" s="124" t="s">
        <v>158</v>
      </c>
      <c r="B73" s="102">
        <v>5000000</v>
      </c>
      <c r="C73" s="102">
        <v>5000000</v>
      </c>
      <c r="D73" s="102">
        <v>5000000</v>
      </c>
      <c r="E73" s="102">
        <v>5000000</v>
      </c>
      <c r="F73" s="102">
        <v>5000000</v>
      </c>
      <c r="G73" s="102">
        <v>5000000</v>
      </c>
      <c r="H73" s="102">
        <v>5000000</v>
      </c>
    </row>
    <row r="74" spans="1:10" s="71" customFormat="1">
      <c r="A74" s="161" t="s">
        <v>159</v>
      </c>
      <c r="B74" s="162">
        <v>1823400</v>
      </c>
      <c r="C74" s="162">
        <v>1823400</v>
      </c>
      <c r="D74" s="162">
        <v>1823400</v>
      </c>
      <c r="E74" s="70">
        <v>1860414</v>
      </c>
      <c r="F74" s="70">
        <v>1897623</v>
      </c>
      <c r="G74" s="70">
        <v>1936302</v>
      </c>
      <c r="H74" s="70">
        <v>1975029</v>
      </c>
    </row>
    <row r="75" spans="1:10" s="71" customFormat="1">
      <c r="A75" s="161" t="s">
        <v>185</v>
      </c>
      <c r="B75" s="162">
        <v>0</v>
      </c>
      <c r="C75" s="162">
        <v>90000000</v>
      </c>
      <c r="D75" s="162">
        <v>200000000</v>
      </c>
      <c r="E75" s="162">
        <v>200000000</v>
      </c>
      <c r="F75" s="162">
        <v>200000000</v>
      </c>
      <c r="G75" s="162">
        <v>200000000</v>
      </c>
      <c r="H75" s="162">
        <v>200000000</v>
      </c>
    </row>
    <row r="76" spans="1:10" s="71" customFormat="1">
      <c r="A76" s="161" t="s">
        <v>187</v>
      </c>
      <c r="B76" s="162">
        <v>0</v>
      </c>
      <c r="C76" s="162">
        <v>262950000</v>
      </c>
      <c r="D76" s="162">
        <v>262950000</v>
      </c>
      <c r="E76" s="162">
        <v>268288000</v>
      </c>
      <c r="F76" s="162">
        <v>273653500</v>
      </c>
      <c r="G76" s="162">
        <v>279231500</v>
      </c>
      <c r="H76" s="162">
        <v>284816000</v>
      </c>
    </row>
    <row r="77" spans="1:10" s="71" customFormat="1">
      <c r="A77" s="161" t="s">
        <v>186</v>
      </c>
      <c r="B77" s="162">
        <v>0</v>
      </c>
      <c r="C77" s="162">
        <v>352950000</v>
      </c>
      <c r="D77" s="162">
        <v>462950000</v>
      </c>
      <c r="E77" s="162">
        <v>468288000</v>
      </c>
      <c r="F77" s="162">
        <v>473653500</v>
      </c>
      <c r="G77" s="162">
        <v>479231500</v>
      </c>
      <c r="H77" s="162">
        <v>484816000</v>
      </c>
    </row>
    <row r="78" spans="1:10" s="71" customFormat="1">
      <c r="A78" s="161" t="s">
        <v>195</v>
      </c>
      <c r="B78" s="162">
        <v>10000000</v>
      </c>
      <c r="C78" s="162">
        <v>10000000</v>
      </c>
      <c r="D78" s="162">
        <v>10000000</v>
      </c>
      <c r="E78" s="162">
        <v>10000000</v>
      </c>
      <c r="F78" s="162">
        <v>10000000</v>
      </c>
      <c r="G78" s="162">
        <v>10000000</v>
      </c>
      <c r="H78" s="162">
        <v>10000000</v>
      </c>
    </row>
    <row r="79" spans="1:10" s="71" customFormat="1">
      <c r="A79" s="161" t="s">
        <v>12</v>
      </c>
      <c r="B79" s="70">
        <v>3850000</v>
      </c>
      <c r="C79" s="70">
        <v>3850000</v>
      </c>
      <c r="D79" s="70">
        <v>3850000</v>
      </c>
      <c r="E79" s="70">
        <v>3850000</v>
      </c>
      <c r="F79" s="70">
        <v>3850000</v>
      </c>
      <c r="G79" s="70">
        <v>3850000</v>
      </c>
      <c r="H79" s="70">
        <v>3850000</v>
      </c>
      <c r="I79" s="70"/>
      <c r="J79" s="70"/>
    </row>
    <row r="80" spans="1:10" s="71" customFormat="1">
      <c r="A80" s="161" t="s">
        <v>174</v>
      </c>
      <c r="B80" s="70">
        <v>5000000</v>
      </c>
      <c r="C80" s="70">
        <v>5000000</v>
      </c>
      <c r="D80" s="70">
        <v>5000000</v>
      </c>
      <c r="E80" s="70">
        <v>5000000</v>
      </c>
      <c r="F80" s="70">
        <v>5000000</v>
      </c>
      <c r="G80" s="70">
        <v>5000000</v>
      </c>
      <c r="H80" s="70">
        <v>5000000</v>
      </c>
      <c r="I80" s="70"/>
      <c r="J80" s="70"/>
    </row>
    <row r="81" spans="1:8" s="71" customFormat="1">
      <c r="A81" s="161" t="s">
        <v>196</v>
      </c>
      <c r="B81" s="162">
        <v>3000000</v>
      </c>
      <c r="C81" s="162">
        <v>3000000</v>
      </c>
      <c r="D81" s="162">
        <v>3000000</v>
      </c>
      <c r="E81" s="162">
        <v>3000000</v>
      </c>
      <c r="F81" s="162">
        <v>3000000</v>
      </c>
      <c r="G81" s="162">
        <v>3000000</v>
      </c>
      <c r="H81" s="162">
        <v>3000000</v>
      </c>
    </row>
    <row r="82" spans="1:8" s="160" customFormat="1" ht="15" thickBot="1">
      <c r="A82" s="130" t="s">
        <v>110</v>
      </c>
      <c r="B82" s="159">
        <f>B71+SUM(B72:B81)</f>
        <v>8595000000.0643997</v>
      </c>
      <c r="C82" s="159">
        <f>C71+C72+C73+C74+C77+C78+C79+C80+C81</f>
        <v>8720120890.9667606</v>
      </c>
      <c r="D82" s="159">
        <f>D71+D72+D73+D74+D77+D78+D79+D80+D81</f>
        <v>8875767890.9667587</v>
      </c>
      <c r="E82" s="159">
        <f t="shared" ref="E82:H82" si="1">E71+E72+E73+E74+E77+E78+E79+E80+E81</f>
        <v>9056048268.7893524</v>
      </c>
      <c r="F82" s="159">
        <f t="shared" si="1"/>
        <v>9237268817.2447491</v>
      </c>
      <c r="G82" s="159">
        <f t="shared" si="1"/>
        <v>9425655651.2572651</v>
      </c>
      <c r="H82" s="159">
        <f t="shared" si="1"/>
        <v>9616491842.4193401</v>
      </c>
    </row>
    <row r="83" spans="1:8" ht="15" thickTop="1">
      <c r="A83" s="72" t="s">
        <v>198</v>
      </c>
      <c r="B83" s="102">
        <v>8595000000.0643997</v>
      </c>
      <c r="C83" s="102">
        <v>8723564000</v>
      </c>
      <c r="D83" s="102">
        <v>8879211000</v>
      </c>
      <c r="E83" s="102">
        <v>9059459000</v>
      </c>
      <c r="F83" s="102">
        <v>9240647000</v>
      </c>
      <c r="G83" s="102">
        <v>9429000000</v>
      </c>
      <c r="H83" s="102">
        <v>9617580000</v>
      </c>
    </row>
    <row r="84" spans="1:8">
      <c r="A84" s="72" t="s">
        <v>199</v>
      </c>
      <c r="B84" s="102">
        <v>0</v>
      </c>
      <c r="C84" s="102">
        <f t="shared" ref="C84:H84" si="2">C82-C83</f>
        <v>-3443109.0332393646</v>
      </c>
      <c r="D84" s="102">
        <f t="shared" si="2"/>
        <v>-3443109.033241272</v>
      </c>
      <c r="E84" s="102">
        <f t="shared" si="2"/>
        <v>-3410731.210647583</v>
      </c>
      <c r="F84" s="102">
        <f t="shared" si="2"/>
        <v>-3378182.7552509308</v>
      </c>
      <c r="G84" s="102">
        <f t="shared" si="2"/>
        <v>-3344348.7427349091</v>
      </c>
      <c r="H84" s="102">
        <f t="shared" si="2"/>
        <v>-1088157.5806598663</v>
      </c>
    </row>
    <row r="85" spans="1:8">
      <c r="B85" s="102"/>
      <c r="C85" s="102">
        <f>C67+C69+C72+C73+C74+C77+C78+C79+C80+C81</f>
        <v>8723564000</v>
      </c>
      <c r="D85" s="102"/>
      <c r="E85" s="102"/>
      <c r="F85" s="102"/>
      <c r="G85" s="102"/>
      <c r="H85" s="102"/>
    </row>
    <row r="86" spans="1:8">
      <c r="B86" s="102"/>
      <c r="C86" s="102"/>
      <c r="D86" s="102"/>
      <c r="E86" s="102"/>
      <c r="F86" s="102"/>
      <c r="G86" s="102"/>
      <c r="H86" s="102"/>
    </row>
    <row r="87" spans="1:8">
      <c r="B87" s="102"/>
      <c r="C87" s="102"/>
      <c r="D87" s="102"/>
      <c r="E87" s="102"/>
      <c r="F87" s="102"/>
      <c r="G87" s="102"/>
      <c r="H87" s="102"/>
    </row>
    <row r="88" spans="1:8">
      <c r="B88" s="102"/>
      <c r="C88" s="102"/>
      <c r="D88" s="102"/>
      <c r="E88" s="102"/>
      <c r="F88" s="102"/>
      <c r="G88" s="102"/>
      <c r="H88" s="102"/>
    </row>
    <row r="89" spans="1:8">
      <c r="B89" s="102"/>
      <c r="C89" s="102"/>
      <c r="D89" s="102"/>
      <c r="E89" s="102"/>
      <c r="F89" s="102"/>
      <c r="G89" s="102"/>
      <c r="H89" s="102"/>
    </row>
    <row r="90" spans="1:8">
      <c r="B90" s="102"/>
      <c r="C90" s="102"/>
      <c r="D90" s="102"/>
      <c r="E90" s="102"/>
      <c r="F90" s="102"/>
      <c r="G90" s="102"/>
      <c r="H90" s="102"/>
    </row>
    <row r="91" spans="1:8">
      <c r="B91" s="102"/>
      <c r="C91" s="102"/>
      <c r="D91" s="102"/>
      <c r="E91" s="102"/>
      <c r="F91" s="102"/>
      <c r="G91" s="102"/>
      <c r="H91" s="102"/>
    </row>
    <row r="92" spans="1:8">
      <c r="B92" s="102"/>
      <c r="C92" s="102"/>
      <c r="D92" s="102"/>
      <c r="E92" s="102"/>
      <c r="F92" s="102"/>
      <c r="G92" s="102"/>
      <c r="H92" s="102"/>
    </row>
    <row r="93" spans="1:8">
      <c r="B93" s="102"/>
      <c r="C93" s="102"/>
      <c r="D93" s="102"/>
      <c r="E93" s="102"/>
      <c r="F93" s="102"/>
      <c r="G93" s="102"/>
      <c r="H93" s="102"/>
    </row>
    <row r="94" spans="1:8">
      <c r="B94" s="102"/>
      <c r="C94" s="102"/>
      <c r="D94" s="102"/>
      <c r="E94" s="102"/>
      <c r="F94" s="102"/>
      <c r="G94" s="102"/>
      <c r="H94" s="102"/>
    </row>
    <row r="95" spans="1:8">
      <c r="B95" s="102"/>
      <c r="C95" s="102"/>
      <c r="D95" s="102"/>
      <c r="E95" s="102"/>
      <c r="F95" s="102"/>
      <c r="G95" s="102"/>
      <c r="H95" s="102"/>
    </row>
    <row r="96" spans="1:8">
      <c r="B96" s="102"/>
      <c r="C96" s="102"/>
      <c r="D96" s="102"/>
      <c r="E96" s="102"/>
      <c r="F96" s="102"/>
      <c r="G96" s="102"/>
      <c r="H96" s="102"/>
    </row>
    <row r="97" spans="3:8">
      <c r="C97" s="102"/>
      <c r="D97" s="102"/>
      <c r="E97" s="102"/>
      <c r="F97" s="102"/>
      <c r="G97" s="102"/>
      <c r="H97" s="102"/>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I94"/>
  <sheetViews>
    <sheetView workbookViewId="0">
      <pane ySplit="9" topLeftCell="A10" activePane="bottomLeft" state="frozen"/>
      <selection activeCell="F76" sqref="F76"/>
      <selection pane="bottomLeft" sqref="A1:AB1"/>
    </sheetView>
  </sheetViews>
  <sheetFormatPr baseColWidth="10" defaultColWidth="9.1640625" defaultRowHeight="11" x14ac:dyDescent="0"/>
  <cols>
    <col min="1" max="1" width="30.1640625" style="72" customWidth="1"/>
    <col min="2" max="2" width="30.1640625" style="72" hidden="1" customWidth="1"/>
    <col min="3" max="3" width="20.1640625" style="72" customWidth="1"/>
    <col min="4" max="4" width="20.1640625" style="72" hidden="1" customWidth="1"/>
    <col min="5" max="5" width="20.1640625" style="72" customWidth="1"/>
    <col min="6" max="6" width="20.1640625" style="72" hidden="1" customWidth="1"/>
    <col min="7" max="7" width="17.1640625" style="72" customWidth="1"/>
    <col min="8" max="8" width="17.1640625" style="72" hidden="1" customWidth="1"/>
    <col min="9" max="9" width="17.1640625" style="72" customWidth="1"/>
    <col min="10" max="10" width="17.1640625" style="72" hidden="1" customWidth="1"/>
    <col min="11" max="11" width="20.6640625" style="72" customWidth="1"/>
    <col min="12" max="12" width="20.6640625" style="72" hidden="1" customWidth="1"/>
    <col min="13" max="13" width="20" style="72" customWidth="1"/>
    <col min="14" max="14" width="20" style="72" hidden="1" customWidth="1"/>
    <col min="15" max="15" width="17.5" style="72" customWidth="1"/>
    <col min="16" max="16" width="17.5" style="72" hidden="1" customWidth="1"/>
    <col min="17" max="17" width="19.83203125" style="72" customWidth="1"/>
    <col min="18" max="18" width="19.83203125" style="72" hidden="1" customWidth="1"/>
    <col min="19" max="19" width="17.1640625" style="72" customWidth="1"/>
    <col min="20" max="20" width="17.1640625" style="72" hidden="1" customWidth="1"/>
    <col min="21" max="21" width="17.1640625" style="72" customWidth="1"/>
    <col min="22" max="22" width="17.1640625" style="72" hidden="1" customWidth="1"/>
    <col min="23" max="23" width="15.83203125" style="72" customWidth="1"/>
    <col min="24" max="24" width="15.83203125" style="72" hidden="1" customWidth="1"/>
    <col min="25" max="25" width="15.5" style="72" customWidth="1"/>
    <col min="26" max="26" width="16.6640625" style="72" customWidth="1"/>
    <col min="27" max="27" width="15.5" style="72" customWidth="1"/>
    <col min="28" max="28" width="16" style="72" customWidth="1"/>
    <col min="29" max="29" width="12" style="72" hidden="1" customWidth="1"/>
    <col min="30" max="30" width="17.33203125" style="72" hidden="1" customWidth="1"/>
    <col min="31" max="31" width="16.5" style="72" bestFit="1" customWidth="1"/>
    <col min="32" max="32" width="10.83203125" style="72" bestFit="1" customWidth="1"/>
    <col min="33" max="269" width="9.1640625" style="72"/>
    <col min="270" max="270" width="29.33203125" style="72" customWidth="1"/>
    <col min="271" max="272" width="20.1640625" style="72" customWidth="1"/>
    <col min="273" max="274" width="17.1640625" style="72" customWidth="1"/>
    <col min="275" max="275" width="21.5" style="72" customWidth="1"/>
    <col min="276" max="276" width="18.33203125" style="72" customWidth="1"/>
    <col min="277" max="277" width="28.5" style="72" customWidth="1"/>
    <col min="278" max="278" width="21" style="72" customWidth="1"/>
    <col min="279" max="279" width="17.5" style="72" customWidth="1"/>
    <col min="280" max="280" width="22.6640625" style="72" customWidth="1"/>
    <col min="281" max="281" width="17.1640625" style="72" customWidth="1"/>
    <col min="282" max="282" width="15.83203125" style="72" customWidth="1"/>
    <col min="283" max="283" width="15.5" style="72" customWidth="1"/>
    <col min="284" max="284" width="16" style="72" customWidth="1"/>
    <col min="285" max="285" width="9.1640625" style="72" customWidth="1"/>
    <col min="286" max="286" width="17.33203125" style="72" customWidth="1"/>
    <col min="287" max="287" width="16.5" style="72" bestFit="1" customWidth="1"/>
    <col min="288" max="288" width="10.83203125" style="72" bestFit="1" customWidth="1"/>
    <col min="289" max="525" width="9.1640625" style="72"/>
    <col min="526" max="526" width="29.33203125" style="72" customWidth="1"/>
    <col min="527" max="528" width="20.1640625" style="72" customWidth="1"/>
    <col min="529" max="530" width="17.1640625" style="72" customWidth="1"/>
    <col min="531" max="531" width="21.5" style="72" customWidth="1"/>
    <col min="532" max="532" width="18.33203125" style="72" customWidth="1"/>
    <col min="533" max="533" width="28.5" style="72" customWidth="1"/>
    <col min="534" max="534" width="21" style="72" customWidth="1"/>
    <col min="535" max="535" width="17.5" style="72" customWidth="1"/>
    <col min="536" max="536" width="22.6640625" style="72" customWidth="1"/>
    <col min="537" max="537" width="17.1640625" style="72" customWidth="1"/>
    <col min="538" max="538" width="15.83203125" style="72" customWidth="1"/>
    <col min="539" max="539" width="15.5" style="72" customWidth="1"/>
    <col min="540" max="540" width="16" style="72" customWidth="1"/>
    <col min="541" max="541" width="9.1640625" style="72" customWidth="1"/>
    <col min="542" max="542" width="17.33203125" style="72" customWidth="1"/>
    <col min="543" max="543" width="16.5" style="72" bestFit="1" customWidth="1"/>
    <col min="544" max="544" width="10.83203125" style="72" bestFit="1" customWidth="1"/>
    <col min="545" max="781" width="9.1640625" style="72"/>
    <col min="782" max="782" width="29.33203125" style="72" customWidth="1"/>
    <col min="783" max="784" width="20.1640625" style="72" customWidth="1"/>
    <col min="785" max="786" width="17.1640625" style="72" customWidth="1"/>
    <col min="787" max="787" width="21.5" style="72" customWidth="1"/>
    <col min="788" max="788" width="18.33203125" style="72" customWidth="1"/>
    <col min="789" max="789" width="28.5" style="72" customWidth="1"/>
    <col min="790" max="790" width="21" style="72" customWidth="1"/>
    <col min="791" max="791" width="17.5" style="72" customWidth="1"/>
    <col min="792" max="792" width="22.6640625" style="72" customWidth="1"/>
    <col min="793" max="793" width="17.1640625" style="72" customWidth="1"/>
    <col min="794" max="794" width="15.83203125" style="72" customWidth="1"/>
    <col min="795" max="795" width="15.5" style="72" customWidth="1"/>
    <col min="796" max="796" width="16" style="72" customWidth="1"/>
    <col min="797" max="797" width="9.1640625" style="72" customWidth="1"/>
    <col min="798" max="798" width="17.33203125" style="72" customWidth="1"/>
    <col min="799" max="799" width="16.5" style="72" bestFit="1" customWidth="1"/>
    <col min="800" max="800" width="10.83203125" style="72" bestFit="1" customWidth="1"/>
    <col min="801" max="1037" width="9.1640625" style="72"/>
    <col min="1038" max="1038" width="29.33203125" style="72" customWidth="1"/>
    <col min="1039" max="1040" width="20.1640625" style="72" customWidth="1"/>
    <col min="1041" max="1042" width="17.1640625" style="72" customWidth="1"/>
    <col min="1043" max="1043" width="21.5" style="72" customWidth="1"/>
    <col min="1044" max="1044" width="18.33203125" style="72" customWidth="1"/>
    <col min="1045" max="1045" width="28.5" style="72" customWidth="1"/>
    <col min="1046" max="1046" width="21" style="72" customWidth="1"/>
    <col min="1047" max="1047" width="17.5" style="72" customWidth="1"/>
    <col min="1048" max="1048" width="22.6640625" style="72" customWidth="1"/>
    <col min="1049" max="1049" width="17.1640625" style="72" customWidth="1"/>
    <col min="1050" max="1050" width="15.83203125" style="72" customWidth="1"/>
    <col min="1051" max="1051" width="15.5" style="72" customWidth="1"/>
    <col min="1052" max="1052" width="16" style="72" customWidth="1"/>
    <col min="1053" max="1053" width="9.1640625" style="72" customWidth="1"/>
    <col min="1054" max="1054" width="17.33203125" style="72" customWidth="1"/>
    <col min="1055" max="1055" width="16.5" style="72" bestFit="1" customWidth="1"/>
    <col min="1056" max="1056" width="10.83203125" style="72" bestFit="1" customWidth="1"/>
    <col min="1057" max="1293" width="9.1640625" style="72"/>
    <col min="1294" max="1294" width="29.33203125" style="72" customWidth="1"/>
    <col min="1295" max="1296" width="20.1640625" style="72" customWidth="1"/>
    <col min="1297" max="1298" width="17.1640625" style="72" customWidth="1"/>
    <col min="1299" max="1299" width="21.5" style="72" customWidth="1"/>
    <col min="1300" max="1300" width="18.33203125" style="72" customWidth="1"/>
    <col min="1301" max="1301" width="28.5" style="72" customWidth="1"/>
    <col min="1302" max="1302" width="21" style="72" customWidth="1"/>
    <col min="1303" max="1303" width="17.5" style="72" customWidth="1"/>
    <col min="1304" max="1304" width="22.6640625" style="72" customWidth="1"/>
    <col min="1305" max="1305" width="17.1640625" style="72" customWidth="1"/>
    <col min="1306" max="1306" width="15.83203125" style="72" customWidth="1"/>
    <col min="1307" max="1307" width="15.5" style="72" customWidth="1"/>
    <col min="1308" max="1308" width="16" style="72" customWidth="1"/>
    <col min="1309" max="1309" width="9.1640625" style="72" customWidth="1"/>
    <col min="1310" max="1310" width="17.33203125" style="72" customWidth="1"/>
    <col min="1311" max="1311" width="16.5" style="72" bestFit="1" customWidth="1"/>
    <col min="1312" max="1312" width="10.83203125" style="72" bestFit="1" customWidth="1"/>
    <col min="1313" max="1549" width="9.1640625" style="72"/>
    <col min="1550" max="1550" width="29.33203125" style="72" customWidth="1"/>
    <col min="1551" max="1552" width="20.1640625" style="72" customWidth="1"/>
    <col min="1553" max="1554" width="17.1640625" style="72" customWidth="1"/>
    <col min="1555" max="1555" width="21.5" style="72" customWidth="1"/>
    <col min="1556" max="1556" width="18.33203125" style="72" customWidth="1"/>
    <col min="1557" max="1557" width="28.5" style="72" customWidth="1"/>
    <col min="1558" max="1558" width="21" style="72" customWidth="1"/>
    <col min="1559" max="1559" width="17.5" style="72" customWidth="1"/>
    <col min="1560" max="1560" width="22.6640625" style="72" customWidth="1"/>
    <col min="1561" max="1561" width="17.1640625" style="72" customWidth="1"/>
    <col min="1562" max="1562" width="15.83203125" style="72" customWidth="1"/>
    <col min="1563" max="1563" width="15.5" style="72" customWidth="1"/>
    <col min="1564" max="1564" width="16" style="72" customWidth="1"/>
    <col min="1565" max="1565" width="9.1640625" style="72" customWidth="1"/>
    <col min="1566" max="1566" width="17.33203125" style="72" customWidth="1"/>
    <col min="1567" max="1567" width="16.5" style="72" bestFit="1" customWidth="1"/>
    <col min="1568" max="1568" width="10.83203125" style="72" bestFit="1" customWidth="1"/>
    <col min="1569" max="1805" width="9.1640625" style="72"/>
    <col min="1806" max="1806" width="29.33203125" style="72" customWidth="1"/>
    <col min="1807" max="1808" width="20.1640625" style="72" customWidth="1"/>
    <col min="1809" max="1810" width="17.1640625" style="72" customWidth="1"/>
    <col min="1811" max="1811" width="21.5" style="72" customWidth="1"/>
    <col min="1812" max="1812" width="18.33203125" style="72" customWidth="1"/>
    <col min="1813" max="1813" width="28.5" style="72" customWidth="1"/>
    <col min="1814" max="1814" width="21" style="72" customWidth="1"/>
    <col min="1815" max="1815" width="17.5" style="72" customWidth="1"/>
    <col min="1816" max="1816" width="22.6640625" style="72" customWidth="1"/>
    <col min="1817" max="1817" width="17.1640625" style="72" customWidth="1"/>
    <col min="1818" max="1818" width="15.83203125" style="72" customWidth="1"/>
    <col min="1819" max="1819" width="15.5" style="72" customWidth="1"/>
    <col min="1820" max="1820" width="16" style="72" customWidth="1"/>
    <col min="1821" max="1821" width="9.1640625" style="72" customWidth="1"/>
    <col min="1822" max="1822" width="17.33203125" style="72" customWidth="1"/>
    <col min="1823" max="1823" width="16.5" style="72" bestFit="1" customWidth="1"/>
    <col min="1824" max="1824" width="10.83203125" style="72" bestFit="1" customWidth="1"/>
    <col min="1825" max="2061" width="9.1640625" style="72"/>
    <col min="2062" max="2062" width="29.33203125" style="72" customWidth="1"/>
    <col min="2063" max="2064" width="20.1640625" style="72" customWidth="1"/>
    <col min="2065" max="2066" width="17.1640625" style="72" customWidth="1"/>
    <col min="2067" max="2067" width="21.5" style="72" customWidth="1"/>
    <col min="2068" max="2068" width="18.33203125" style="72" customWidth="1"/>
    <col min="2069" max="2069" width="28.5" style="72" customWidth="1"/>
    <col min="2070" max="2070" width="21" style="72" customWidth="1"/>
    <col min="2071" max="2071" width="17.5" style="72" customWidth="1"/>
    <col min="2072" max="2072" width="22.6640625" style="72" customWidth="1"/>
    <col min="2073" max="2073" width="17.1640625" style="72" customWidth="1"/>
    <col min="2074" max="2074" width="15.83203125" style="72" customWidth="1"/>
    <col min="2075" max="2075" width="15.5" style="72" customWidth="1"/>
    <col min="2076" max="2076" width="16" style="72" customWidth="1"/>
    <col min="2077" max="2077" width="9.1640625" style="72" customWidth="1"/>
    <col min="2078" max="2078" width="17.33203125" style="72" customWidth="1"/>
    <col min="2079" max="2079" width="16.5" style="72" bestFit="1" customWidth="1"/>
    <col min="2080" max="2080" width="10.83203125" style="72" bestFit="1" customWidth="1"/>
    <col min="2081" max="2317" width="9.1640625" style="72"/>
    <col min="2318" max="2318" width="29.33203125" style="72" customWidth="1"/>
    <col min="2319" max="2320" width="20.1640625" style="72" customWidth="1"/>
    <col min="2321" max="2322" width="17.1640625" style="72" customWidth="1"/>
    <col min="2323" max="2323" width="21.5" style="72" customWidth="1"/>
    <col min="2324" max="2324" width="18.33203125" style="72" customWidth="1"/>
    <col min="2325" max="2325" width="28.5" style="72" customWidth="1"/>
    <col min="2326" max="2326" width="21" style="72" customWidth="1"/>
    <col min="2327" max="2327" width="17.5" style="72" customWidth="1"/>
    <col min="2328" max="2328" width="22.6640625" style="72" customWidth="1"/>
    <col min="2329" max="2329" width="17.1640625" style="72" customWidth="1"/>
    <col min="2330" max="2330" width="15.83203125" style="72" customWidth="1"/>
    <col min="2331" max="2331" width="15.5" style="72" customWidth="1"/>
    <col min="2332" max="2332" width="16" style="72" customWidth="1"/>
    <col min="2333" max="2333" width="9.1640625" style="72" customWidth="1"/>
    <col min="2334" max="2334" width="17.33203125" style="72" customWidth="1"/>
    <col min="2335" max="2335" width="16.5" style="72" bestFit="1" customWidth="1"/>
    <col min="2336" max="2336" width="10.83203125" style="72" bestFit="1" customWidth="1"/>
    <col min="2337" max="2573" width="9.1640625" style="72"/>
    <col min="2574" max="2574" width="29.33203125" style="72" customWidth="1"/>
    <col min="2575" max="2576" width="20.1640625" style="72" customWidth="1"/>
    <col min="2577" max="2578" width="17.1640625" style="72" customWidth="1"/>
    <col min="2579" max="2579" width="21.5" style="72" customWidth="1"/>
    <col min="2580" max="2580" width="18.33203125" style="72" customWidth="1"/>
    <col min="2581" max="2581" width="28.5" style="72" customWidth="1"/>
    <col min="2582" max="2582" width="21" style="72" customWidth="1"/>
    <col min="2583" max="2583" width="17.5" style="72" customWidth="1"/>
    <col min="2584" max="2584" width="22.6640625" style="72" customWidth="1"/>
    <col min="2585" max="2585" width="17.1640625" style="72" customWidth="1"/>
    <col min="2586" max="2586" width="15.83203125" style="72" customWidth="1"/>
    <col min="2587" max="2587" width="15.5" style="72" customWidth="1"/>
    <col min="2588" max="2588" width="16" style="72" customWidth="1"/>
    <col min="2589" max="2589" width="9.1640625" style="72" customWidth="1"/>
    <col min="2590" max="2590" width="17.33203125" style="72" customWidth="1"/>
    <col min="2591" max="2591" width="16.5" style="72" bestFit="1" customWidth="1"/>
    <col min="2592" max="2592" width="10.83203125" style="72" bestFit="1" customWidth="1"/>
    <col min="2593" max="2829" width="9.1640625" style="72"/>
    <col min="2830" max="2830" width="29.33203125" style="72" customWidth="1"/>
    <col min="2831" max="2832" width="20.1640625" style="72" customWidth="1"/>
    <col min="2833" max="2834" width="17.1640625" style="72" customWidth="1"/>
    <col min="2835" max="2835" width="21.5" style="72" customWidth="1"/>
    <col min="2836" max="2836" width="18.33203125" style="72" customWidth="1"/>
    <col min="2837" max="2837" width="28.5" style="72" customWidth="1"/>
    <col min="2838" max="2838" width="21" style="72" customWidth="1"/>
    <col min="2839" max="2839" width="17.5" style="72" customWidth="1"/>
    <col min="2840" max="2840" width="22.6640625" style="72" customWidth="1"/>
    <col min="2841" max="2841" width="17.1640625" style="72" customWidth="1"/>
    <col min="2842" max="2842" width="15.83203125" style="72" customWidth="1"/>
    <col min="2843" max="2843" width="15.5" style="72" customWidth="1"/>
    <col min="2844" max="2844" width="16" style="72" customWidth="1"/>
    <col min="2845" max="2845" width="9.1640625" style="72" customWidth="1"/>
    <col min="2846" max="2846" width="17.33203125" style="72" customWidth="1"/>
    <col min="2847" max="2847" width="16.5" style="72" bestFit="1" customWidth="1"/>
    <col min="2848" max="2848" width="10.83203125" style="72" bestFit="1" customWidth="1"/>
    <col min="2849" max="3085" width="9.1640625" style="72"/>
    <col min="3086" max="3086" width="29.33203125" style="72" customWidth="1"/>
    <col min="3087" max="3088" width="20.1640625" style="72" customWidth="1"/>
    <col min="3089" max="3090" width="17.1640625" style="72" customWidth="1"/>
    <col min="3091" max="3091" width="21.5" style="72" customWidth="1"/>
    <col min="3092" max="3092" width="18.33203125" style="72" customWidth="1"/>
    <col min="3093" max="3093" width="28.5" style="72" customWidth="1"/>
    <col min="3094" max="3094" width="21" style="72" customWidth="1"/>
    <col min="3095" max="3095" width="17.5" style="72" customWidth="1"/>
    <col min="3096" max="3096" width="22.6640625" style="72" customWidth="1"/>
    <col min="3097" max="3097" width="17.1640625" style="72" customWidth="1"/>
    <col min="3098" max="3098" width="15.83203125" style="72" customWidth="1"/>
    <col min="3099" max="3099" width="15.5" style="72" customWidth="1"/>
    <col min="3100" max="3100" width="16" style="72" customWidth="1"/>
    <col min="3101" max="3101" width="9.1640625" style="72" customWidth="1"/>
    <col min="3102" max="3102" width="17.33203125" style="72" customWidth="1"/>
    <col min="3103" max="3103" width="16.5" style="72" bestFit="1" customWidth="1"/>
    <col min="3104" max="3104" width="10.83203125" style="72" bestFit="1" customWidth="1"/>
    <col min="3105" max="3341" width="9.1640625" style="72"/>
    <col min="3342" max="3342" width="29.33203125" style="72" customWidth="1"/>
    <col min="3343" max="3344" width="20.1640625" style="72" customWidth="1"/>
    <col min="3345" max="3346" width="17.1640625" style="72" customWidth="1"/>
    <col min="3347" max="3347" width="21.5" style="72" customWidth="1"/>
    <col min="3348" max="3348" width="18.33203125" style="72" customWidth="1"/>
    <col min="3349" max="3349" width="28.5" style="72" customWidth="1"/>
    <col min="3350" max="3350" width="21" style="72" customWidth="1"/>
    <col min="3351" max="3351" width="17.5" style="72" customWidth="1"/>
    <col min="3352" max="3352" width="22.6640625" style="72" customWidth="1"/>
    <col min="3353" max="3353" width="17.1640625" style="72" customWidth="1"/>
    <col min="3354" max="3354" width="15.83203125" style="72" customWidth="1"/>
    <col min="3355" max="3355" width="15.5" style="72" customWidth="1"/>
    <col min="3356" max="3356" width="16" style="72" customWidth="1"/>
    <col min="3357" max="3357" width="9.1640625" style="72" customWidth="1"/>
    <col min="3358" max="3358" width="17.33203125" style="72" customWidth="1"/>
    <col min="3359" max="3359" width="16.5" style="72" bestFit="1" customWidth="1"/>
    <col min="3360" max="3360" width="10.83203125" style="72" bestFit="1" customWidth="1"/>
    <col min="3361" max="3597" width="9.1640625" style="72"/>
    <col min="3598" max="3598" width="29.33203125" style="72" customWidth="1"/>
    <col min="3599" max="3600" width="20.1640625" style="72" customWidth="1"/>
    <col min="3601" max="3602" width="17.1640625" style="72" customWidth="1"/>
    <col min="3603" max="3603" width="21.5" style="72" customWidth="1"/>
    <col min="3604" max="3604" width="18.33203125" style="72" customWidth="1"/>
    <col min="3605" max="3605" width="28.5" style="72" customWidth="1"/>
    <col min="3606" max="3606" width="21" style="72" customWidth="1"/>
    <col min="3607" max="3607" width="17.5" style="72" customWidth="1"/>
    <col min="3608" max="3608" width="22.6640625" style="72" customWidth="1"/>
    <col min="3609" max="3609" width="17.1640625" style="72" customWidth="1"/>
    <col min="3610" max="3610" width="15.83203125" style="72" customWidth="1"/>
    <col min="3611" max="3611" width="15.5" style="72" customWidth="1"/>
    <col min="3612" max="3612" width="16" style="72" customWidth="1"/>
    <col min="3613" max="3613" width="9.1640625" style="72" customWidth="1"/>
    <col min="3614" max="3614" width="17.33203125" style="72" customWidth="1"/>
    <col min="3615" max="3615" width="16.5" style="72" bestFit="1" customWidth="1"/>
    <col min="3616" max="3616" width="10.83203125" style="72" bestFit="1" customWidth="1"/>
    <col min="3617" max="3853" width="9.1640625" style="72"/>
    <col min="3854" max="3854" width="29.33203125" style="72" customWidth="1"/>
    <col min="3855" max="3856" width="20.1640625" style="72" customWidth="1"/>
    <col min="3857" max="3858" width="17.1640625" style="72" customWidth="1"/>
    <col min="3859" max="3859" width="21.5" style="72" customWidth="1"/>
    <col min="3860" max="3860" width="18.33203125" style="72" customWidth="1"/>
    <col min="3861" max="3861" width="28.5" style="72" customWidth="1"/>
    <col min="3862" max="3862" width="21" style="72" customWidth="1"/>
    <col min="3863" max="3863" width="17.5" style="72" customWidth="1"/>
    <col min="3864" max="3864" width="22.6640625" style="72" customWidth="1"/>
    <col min="3865" max="3865" width="17.1640625" style="72" customWidth="1"/>
    <col min="3866" max="3866" width="15.83203125" style="72" customWidth="1"/>
    <col min="3867" max="3867" width="15.5" style="72" customWidth="1"/>
    <col min="3868" max="3868" width="16" style="72" customWidth="1"/>
    <col min="3869" max="3869" width="9.1640625" style="72" customWidth="1"/>
    <col min="3870" max="3870" width="17.33203125" style="72" customWidth="1"/>
    <col min="3871" max="3871" width="16.5" style="72" bestFit="1" customWidth="1"/>
    <col min="3872" max="3872" width="10.83203125" style="72" bestFit="1" customWidth="1"/>
    <col min="3873" max="4109" width="9.1640625" style="72"/>
    <col min="4110" max="4110" width="29.33203125" style="72" customWidth="1"/>
    <col min="4111" max="4112" width="20.1640625" style="72" customWidth="1"/>
    <col min="4113" max="4114" width="17.1640625" style="72" customWidth="1"/>
    <col min="4115" max="4115" width="21.5" style="72" customWidth="1"/>
    <col min="4116" max="4116" width="18.33203125" style="72" customWidth="1"/>
    <col min="4117" max="4117" width="28.5" style="72" customWidth="1"/>
    <col min="4118" max="4118" width="21" style="72" customWidth="1"/>
    <col min="4119" max="4119" width="17.5" style="72" customWidth="1"/>
    <col min="4120" max="4120" width="22.6640625" style="72" customWidth="1"/>
    <col min="4121" max="4121" width="17.1640625" style="72" customWidth="1"/>
    <col min="4122" max="4122" width="15.83203125" style="72" customWidth="1"/>
    <col min="4123" max="4123" width="15.5" style="72" customWidth="1"/>
    <col min="4124" max="4124" width="16" style="72" customWidth="1"/>
    <col min="4125" max="4125" width="9.1640625" style="72" customWidth="1"/>
    <col min="4126" max="4126" width="17.33203125" style="72" customWidth="1"/>
    <col min="4127" max="4127" width="16.5" style="72" bestFit="1" customWidth="1"/>
    <col min="4128" max="4128" width="10.83203125" style="72" bestFit="1" customWidth="1"/>
    <col min="4129" max="4365" width="9.1640625" style="72"/>
    <col min="4366" max="4366" width="29.33203125" style="72" customWidth="1"/>
    <col min="4367" max="4368" width="20.1640625" style="72" customWidth="1"/>
    <col min="4369" max="4370" width="17.1640625" style="72" customWidth="1"/>
    <col min="4371" max="4371" width="21.5" style="72" customWidth="1"/>
    <col min="4372" max="4372" width="18.33203125" style="72" customWidth="1"/>
    <col min="4373" max="4373" width="28.5" style="72" customWidth="1"/>
    <col min="4374" max="4374" width="21" style="72" customWidth="1"/>
    <col min="4375" max="4375" width="17.5" style="72" customWidth="1"/>
    <col min="4376" max="4376" width="22.6640625" style="72" customWidth="1"/>
    <col min="4377" max="4377" width="17.1640625" style="72" customWidth="1"/>
    <col min="4378" max="4378" width="15.83203125" style="72" customWidth="1"/>
    <col min="4379" max="4379" width="15.5" style="72" customWidth="1"/>
    <col min="4380" max="4380" width="16" style="72" customWidth="1"/>
    <col min="4381" max="4381" width="9.1640625" style="72" customWidth="1"/>
    <col min="4382" max="4382" width="17.33203125" style="72" customWidth="1"/>
    <col min="4383" max="4383" width="16.5" style="72" bestFit="1" customWidth="1"/>
    <col min="4384" max="4384" width="10.83203125" style="72" bestFit="1" customWidth="1"/>
    <col min="4385" max="4621" width="9.1640625" style="72"/>
    <col min="4622" max="4622" width="29.33203125" style="72" customWidth="1"/>
    <col min="4623" max="4624" width="20.1640625" style="72" customWidth="1"/>
    <col min="4625" max="4626" width="17.1640625" style="72" customWidth="1"/>
    <col min="4627" max="4627" width="21.5" style="72" customWidth="1"/>
    <col min="4628" max="4628" width="18.33203125" style="72" customWidth="1"/>
    <col min="4629" max="4629" width="28.5" style="72" customWidth="1"/>
    <col min="4630" max="4630" width="21" style="72" customWidth="1"/>
    <col min="4631" max="4631" width="17.5" style="72" customWidth="1"/>
    <col min="4632" max="4632" width="22.6640625" style="72" customWidth="1"/>
    <col min="4633" max="4633" width="17.1640625" style="72" customWidth="1"/>
    <col min="4634" max="4634" width="15.83203125" style="72" customWidth="1"/>
    <col min="4635" max="4635" width="15.5" style="72" customWidth="1"/>
    <col min="4636" max="4636" width="16" style="72" customWidth="1"/>
    <col min="4637" max="4637" width="9.1640625" style="72" customWidth="1"/>
    <col min="4638" max="4638" width="17.33203125" style="72" customWidth="1"/>
    <col min="4639" max="4639" width="16.5" style="72" bestFit="1" customWidth="1"/>
    <col min="4640" max="4640" width="10.83203125" style="72" bestFit="1" customWidth="1"/>
    <col min="4641" max="4877" width="9.1640625" style="72"/>
    <col min="4878" max="4878" width="29.33203125" style="72" customWidth="1"/>
    <col min="4879" max="4880" width="20.1640625" style="72" customWidth="1"/>
    <col min="4881" max="4882" width="17.1640625" style="72" customWidth="1"/>
    <col min="4883" max="4883" width="21.5" style="72" customWidth="1"/>
    <col min="4884" max="4884" width="18.33203125" style="72" customWidth="1"/>
    <col min="4885" max="4885" width="28.5" style="72" customWidth="1"/>
    <col min="4886" max="4886" width="21" style="72" customWidth="1"/>
    <col min="4887" max="4887" width="17.5" style="72" customWidth="1"/>
    <col min="4888" max="4888" width="22.6640625" style="72" customWidth="1"/>
    <col min="4889" max="4889" width="17.1640625" style="72" customWidth="1"/>
    <col min="4890" max="4890" width="15.83203125" style="72" customWidth="1"/>
    <col min="4891" max="4891" width="15.5" style="72" customWidth="1"/>
    <col min="4892" max="4892" width="16" style="72" customWidth="1"/>
    <col min="4893" max="4893" width="9.1640625" style="72" customWidth="1"/>
    <col min="4894" max="4894" width="17.33203125" style="72" customWidth="1"/>
    <col min="4895" max="4895" width="16.5" style="72" bestFit="1" customWidth="1"/>
    <col min="4896" max="4896" width="10.83203125" style="72" bestFit="1" customWidth="1"/>
    <col min="4897" max="5133" width="9.1640625" style="72"/>
    <col min="5134" max="5134" width="29.33203125" style="72" customWidth="1"/>
    <col min="5135" max="5136" width="20.1640625" style="72" customWidth="1"/>
    <col min="5137" max="5138" width="17.1640625" style="72" customWidth="1"/>
    <col min="5139" max="5139" width="21.5" style="72" customWidth="1"/>
    <col min="5140" max="5140" width="18.33203125" style="72" customWidth="1"/>
    <col min="5141" max="5141" width="28.5" style="72" customWidth="1"/>
    <col min="5142" max="5142" width="21" style="72" customWidth="1"/>
    <col min="5143" max="5143" width="17.5" style="72" customWidth="1"/>
    <col min="5144" max="5144" width="22.6640625" style="72" customWidth="1"/>
    <col min="5145" max="5145" width="17.1640625" style="72" customWidth="1"/>
    <col min="5146" max="5146" width="15.83203125" style="72" customWidth="1"/>
    <col min="5147" max="5147" width="15.5" style="72" customWidth="1"/>
    <col min="5148" max="5148" width="16" style="72" customWidth="1"/>
    <col min="5149" max="5149" width="9.1640625" style="72" customWidth="1"/>
    <col min="5150" max="5150" width="17.33203125" style="72" customWidth="1"/>
    <col min="5151" max="5151" width="16.5" style="72" bestFit="1" customWidth="1"/>
    <col min="5152" max="5152" width="10.83203125" style="72" bestFit="1" customWidth="1"/>
    <col min="5153" max="5389" width="9.1640625" style="72"/>
    <col min="5390" max="5390" width="29.33203125" style="72" customWidth="1"/>
    <col min="5391" max="5392" width="20.1640625" style="72" customWidth="1"/>
    <col min="5393" max="5394" width="17.1640625" style="72" customWidth="1"/>
    <col min="5395" max="5395" width="21.5" style="72" customWidth="1"/>
    <col min="5396" max="5396" width="18.33203125" style="72" customWidth="1"/>
    <col min="5397" max="5397" width="28.5" style="72" customWidth="1"/>
    <col min="5398" max="5398" width="21" style="72" customWidth="1"/>
    <col min="5399" max="5399" width="17.5" style="72" customWidth="1"/>
    <col min="5400" max="5400" width="22.6640625" style="72" customWidth="1"/>
    <col min="5401" max="5401" width="17.1640625" style="72" customWidth="1"/>
    <col min="5402" max="5402" width="15.83203125" style="72" customWidth="1"/>
    <col min="5403" max="5403" width="15.5" style="72" customWidth="1"/>
    <col min="5404" max="5404" width="16" style="72" customWidth="1"/>
    <col min="5405" max="5405" width="9.1640625" style="72" customWidth="1"/>
    <col min="5406" max="5406" width="17.33203125" style="72" customWidth="1"/>
    <col min="5407" max="5407" width="16.5" style="72" bestFit="1" customWidth="1"/>
    <col min="5408" max="5408" width="10.83203125" style="72" bestFit="1" customWidth="1"/>
    <col min="5409" max="5645" width="9.1640625" style="72"/>
    <col min="5646" max="5646" width="29.33203125" style="72" customWidth="1"/>
    <col min="5647" max="5648" width="20.1640625" style="72" customWidth="1"/>
    <col min="5649" max="5650" width="17.1640625" style="72" customWidth="1"/>
    <col min="5651" max="5651" width="21.5" style="72" customWidth="1"/>
    <col min="5652" max="5652" width="18.33203125" style="72" customWidth="1"/>
    <col min="5653" max="5653" width="28.5" style="72" customWidth="1"/>
    <col min="5654" max="5654" width="21" style="72" customWidth="1"/>
    <col min="5655" max="5655" width="17.5" style="72" customWidth="1"/>
    <col min="5656" max="5656" width="22.6640625" style="72" customWidth="1"/>
    <col min="5657" max="5657" width="17.1640625" style="72" customWidth="1"/>
    <col min="5658" max="5658" width="15.83203125" style="72" customWidth="1"/>
    <col min="5659" max="5659" width="15.5" style="72" customWidth="1"/>
    <col min="5660" max="5660" width="16" style="72" customWidth="1"/>
    <col min="5661" max="5661" width="9.1640625" style="72" customWidth="1"/>
    <col min="5662" max="5662" width="17.33203125" style="72" customWidth="1"/>
    <col min="5663" max="5663" width="16.5" style="72" bestFit="1" customWidth="1"/>
    <col min="5664" max="5664" width="10.83203125" style="72" bestFit="1" customWidth="1"/>
    <col min="5665" max="5901" width="9.1640625" style="72"/>
    <col min="5902" max="5902" width="29.33203125" style="72" customWidth="1"/>
    <col min="5903" max="5904" width="20.1640625" style="72" customWidth="1"/>
    <col min="5905" max="5906" width="17.1640625" style="72" customWidth="1"/>
    <col min="5907" max="5907" width="21.5" style="72" customWidth="1"/>
    <col min="5908" max="5908" width="18.33203125" style="72" customWidth="1"/>
    <col min="5909" max="5909" width="28.5" style="72" customWidth="1"/>
    <col min="5910" max="5910" width="21" style="72" customWidth="1"/>
    <col min="5911" max="5911" width="17.5" style="72" customWidth="1"/>
    <col min="5912" max="5912" width="22.6640625" style="72" customWidth="1"/>
    <col min="5913" max="5913" width="17.1640625" style="72" customWidth="1"/>
    <col min="5914" max="5914" width="15.83203125" style="72" customWidth="1"/>
    <col min="5915" max="5915" width="15.5" style="72" customWidth="1"/>
    <col min="5916" max="5916" width="16" style="72" customWidth="1"/>
    <col min="5917" max="5917" width="9.1640625" style="72" customWidth="1"/>
    <col min="5918" max="5918" width="17.33203125" style="72" customWidth="1"/>
    <col min="5919" max="5919" width="16.5" style="72" bestFit="1" customWidth="1"/>
    <col min="5920" max="5920" width="10.83203125" style="72" bestFit="1" customWidth="1"/>
    <col min="5921" max="6157" width="9.1640625" style="72"/>
    <col min="6158" max="6158" width="29.33203125" style="72" customWidth="1"/>
    <col min="6159" max="6160" width="20.1640625" style="72" customWidth="1"/>
    <col min="6161" max="6162" width="17.1640625" style="72" customWidth="1"/>
    <col min="6163" max="6163" width="21.5" style="72" customWidth="1"/>
    <col min="6164" max="6164" width="18.33203125" style="72" customWidth="1"/>
    <col min="6165" max="6165" width="28.5" style="72" customWidth="1"/>
    <col min="6166" max="6166" width="21" style="72" customWidth="1"/>
    <col min="6167" max="6167" width="17.5" style="72" customWidth="1"/>
    <col min="6168" max="6168" width="22.6640625" style="72" customWidth="1"/>
    <col min="6169" max="6169" width="17.1640625" style="72" customWidth="1"/>
    <col min="6170" max="6170" width="15.83203125" style="72" customWidth="1"/>
    <col min="6171" max="6171" width="15.5" style="72" customWidth="1"/>
    <col min="6172" max="6172" width="16" style="72" customWidth="1"/>
    <col min="6173" max="6173" width="9.1640625" style="72" customWidth="1"/>
    <col min="6174" max="6174" width="17.33203125" style="72" customWidth="1"/>
    <col min="6175" max="6175" width="16.5" style="72" bestFit="1" customWidth="1"/>
    <col min="6176" max="6176" width="10.83203125" style="72" bestFit="1" customWidth="1"/>
    <col min="6177" max="6413" width="9.1640625" style="72"/>
    <col min="6414" max="6414" width="29.33203125" style="72" customWidth="1"/>
    <col min="6415" max="6416" width="20.1640625" style="72" customWidth="1"/>
    <col min="6417" max="6418" width="17.1640625" style="72" customWidth="1"/>
    <col min="6419" max="6419" width="21.5" style="72" customWidth="1"/>
    <col min="6420" max="6420" width="18.33203125" style="72" customWidth="1"/>
    <col min="6421" max="6421" width="28.5" style="72" customWidth="1"/>
    <col min="6422" max="6422" width="21" style="72" customWidth="1"/>
    <col min="6423" max="6423" width="17.5" style="72" customWidth="1"/>
    <col min="6424" max="6424" width="22.6640625" style="72" customWidth="1"/>
    <col min="6425" max="6425" width="17.1640625" style="72" customWidth="1"/>
    <col min="6426" max="6426" width="15.83203125" style="72" customWidth="1"/>
    <col min="6427" max="6427" width="15.5" style="72" customWidth="1"/>
    <col min="6428" max="6428" width="16" style="72" customWidth="1"/>
    <col min="6429" max="6429" width="9.1640625" style="72" customWidth="1"/>
    <col min="6430" max="6430" width="17.33203125" style="72" customWidth="1"/>
    <col min="6431" max="6431" width="16.5" style="72" bestFit="1" customWidth="1"/>
    <col min="6432" max="6432" width="10.83203125" style="72" bestFit="1" customWidth="1"/>
    <col min="6433" max="6669" width="9.1640625" style="72"/>
    <col min="6670" max="6670" width="29.33203125" style="72" customWidth="1"/>
    <col min="6671" max="6672" width="20.1640625" style="72" customWidth="1"/>
    <col min="6673" max="6674" width="17.1640625" style="72" customWidth="1"/>
    <col min="6675" max="6675" width="21.5" style="72" customWidth="1"/>
    <col min="6676" max="6676" width="18.33203125" style="72" customWidth="1"/>
    <col min="6677" max="6677" width="28.5" style="72" customWidth="1"/>
    <col min="6678" max="6678" width="21" style="72" customWidth="1"/>
    <col min="6679" max="6679" width="17.5" style="72" customWidth="1"/>
    <col min="6680" max="6680" width="22.6640625" style="72" customWidth="1"/>
    <col min="6681" max="6681" width="17.1640625" style="72" customWidth="1"/>
    <col min="6682" max="6682" width="15.83203125" style="72" customWidth="1"/>
    <col min="6683" max="6683" width="15.5" style="72" customWidth="1"/>
    <col min="6684" max="6684" width="16" style="72" customWidth="1"/>
    <col min="6685" max="6685" width="9.1640625" style="72" customWidth="1"/>
    <col min="6686" max="6686" width="17.33203125" style="72" customWidth="1"/>
    <col min="6687" max="6687" width="16.5" style="72" bestFit="1" customWidth="1"/>
    <col min="6688" max="6688" width="10.83203125" style="72" bestFit="1" customWidth="1"/>
    <col min="6689" max="6925" width="9.1640625" style="72"/>
    <col min="6926" max="6926" width="29.33203125" style="72" customWidth="1"/>
    <col min="6927" max="6928" width="20.1640625" style="72" customWidth="1"/>
    <col min="6929" max="6930" width="17.1640625" style="72" customWidth="1"/>
    <col min="6931" max="6931" width="21.5" style="72" customWidth="1"/>
    <col min="6932" max="6932" width="18.33203125" style="72" customWidth="1"/>
    <col min="6933" max="6933" width="28.5" style="72" customWidth="1"/>
    <col min="6934" max="6934" width="21" style="72" customWidth="1"/>
    <col min="6935" max="6935" width="17.5" style="72" customWidth="1"/>
    <col min="6936" max="6936" width="22.6640625" style="72" customWidth="1"/>
    <col min="6937" max="6937" width="17.1640625" style="72" customWidth="1"/>
    <col min="6938" max="6938" width="15.83203125" style="72" customWidth="1"/>
    <col min="6939" max="6939" width="15.5" style="72" customWidth="1"/>
    <col min="6940" max="6940" width="16" style="72" customWidth="1"/>
    <col min="6941" max="6941" width="9.1640625" style="72" customWidth="1"/>
    <col min="6942" max="6942" width="17.33203125" style="72" customWidth="1"/>
    <col min="6943" max="6943" width="16.5" style="72" bestFit="1" customWidth="1"/>
    <col min="6944" max="6944" width="10.83203125" style="72" bestFit="1" customWidth="1"/>
    <col min="6945" max="7181" width="9.1640625" style="72"/>
    <col min="7182" max="7182" width="29.33203125" style="72" customWidth="1"/>
    <col min="7183" max="7184" width="20.1640625" style="72" customWidth="1"/>
    <col min="7185" max="7186" width="17.1640625" style="72" customWidth="1"/>
    <col min="7187" max="7187" width="21.5" style="72" customWidth="1"/>
    <col min="7188" max="7188" width="18.33203125" style="72" customWidth="1"/>
    <col min="7189" max="7189" width="28.5" style="72" customWidth="1"/>
    <col min="7190" max="7190" width="21" style="72" customWidth="1"/>
    <col min="7191" max="7191" width="17.5" style="72" customWidth="1"/>
    <col min="7192" max="7192" width="22.6640625" style="72" customWidth="1"/>
    <col min="7193" max="7193" width="17.1640625" style="72" customWidth="1"/>
    <col min="7194" max="7194" width="15.83203125" style="72" customWidth="1"/>
    <col min="7195" max="7195" width="15.5" style="72" customWidth="1"/>
    <col min="7196" max="7196" width="16" style="72" customWidth="1"/>
    <col min="7197" max="7197" width="9.1640625" style="72" customWidth="1"/>
    <col min="7198" max="7198" width="17.33203125" style="72" customWidth="1"/>
    <col min="7199" max="7199" width="16.5" style="72" bestFit="1" customWidth="1"/>
    <col min="7200" max="7200" width="10.83203125" style="72" bestFit="1" customWidth="1"/>
    <col min="7201" max="7437" width="9.1640625" style="72"/>
    <col min="7438" max="7438" width="29.33203125" style="72" customWidth="1"/>
    <col min="7439" max="7440" width="20.1640625" style="72" customWidth="1"/>
    <col min="7441" max="7442" width="17.1640625" style="72" customWidth="1"/>
    <col min="7443" max="7443" width="21.5" style="72" customWidth="1"/>
    <col min="7444" max="7444" width="18.33203125" style="72" customWidth="1"/>
    <col min="7445" max="7445" width="28.5" style="72" customWidth="1"/>
    <col min="7446" max="7446" width="21" style="72" customWidth="1"/>
    <col min="7447" max="7447" width="17.5" style="72" customWidth="1"/>
    <col min="7448" max="7448" width="22.6640625" style="72" customWidth="1"/>
    <col min="7449" max="7449" width="17.1640625" style="72" customWidth="1"/>
    <col min="7450" max="7450" width="15.83203125" style="72" customWidth="1"/>
    <col min="7451" max="7451" width="15.5" style="72" customWidth="1"/>
    <col min="7452" max="7452" width="16" style="72" customWidth="1"/>
    <col min="7453" max="7453" width="9.1640625" style="72" customWidth="1"/>
    <col min="7454" max="7454" width="17.33203125" style="72" customWidth="1"/>
    <col min="7455" max="7455" width="16.5" style="72" bestFit="1" customWidth="1"/>
    <col min="7456" max="7456" width="10.83203125" style="72" bestFit="1" customWidth="1"/>
    <col min="7457" max="7693" width="9.1640625" style="72"/>
    <col min="7694" max="7694" width="29.33203125" style="72" customWidth="1"/>
    <col min="7695" max="7696" width="20.1640625" style="72" customWidth="1"/>
    <col min="7697" max="7698" width="17.1640625" style="72" customWidth="1"/>
    <col min="7699" max="7699" width="21.5" style="72" customWidth="1"/>
    <col min="7700" max="7700" width="18.33203125" style="72" customWidth="1"/>
    <col min="7701" max="7701" width="28.5" style="72" customWidth="1"/>
    <col min="7702" max="7702" width="21" style="72" customWidth="1"/>
    <col min="7703" max="7703" width="17.5" style="72" customWidth="1"/>
    <col min="7704" max="7704" width="22.6640625" style="72" customWidth="1"/>
    <col min="7705" max="7705" width="17.1640625" style="72" customWidth="1"/>
    <col min="7706" max="7706" width="15.83203125" style="72" customWidth="1"/>
    <col min="7707" max="7707" width="15.5" style="72" customWidth="1"/>
    <col min="7708" max="7708" width="16" style="72" customWidth="1"/>
    <col min="7709" max="7709" width="9.1640625" style="72" customWidth="1"/>
    <col min="7710" max="7710" width="17.33203125" style="72" customWidth="1"/>
    <col min="7711" max="7711" width="16.5" style="72" bestFit="1" customWidth="1"/>
    <col min="7712" max="7712" width="10.83203125" style="72" bestFit="1" customWidth="1"/>
    <col min="7713" max="7949" width="9.1640625" style="72"/>
    <col min="7950" max="7950" width="29.33203125" style="72" customWidth="1"/>
    <col min="7951" max="7952" width="20.1640625" style="72" customWidth="1"/>
    <col min="7953" max="7954" width="17.1640625" style="72" customWidth="1"/>
    <col min="7955" max="7955" width="21.5" style="72" customWidth="1"/>
    <col min="7956" max="7956" width="18.33203125" style="72" customWidth="1"/>
    <col min="7957" max="7957" width="28.5" style="72" customWidth="1"/>
    <col min="7958" max="7958" width="21" style="72" customWidth="1"/>
    <col min="7959" max="7959" width="17.5" style="72" customWidth="1"/>
    <col min="7960" max="7960" width="22.6640625" style="72" customWidth="1"/>
    <col min="7961" max="7961" width="17.1640625" style="72" customWidth="1"/>
    <col min="7962" max="7962" width="15.83203125" style="72" customWidth="1"/>
    <col min="7963" max="7963" width="15.5" style="72" customWidth="1"/>
    <col min="7964" max="7964" width="16" style="72" customWidth="1"/>
    <col min="7965" max="7965" width="9.1640625" style="72" customWidth="1"/>
    <col min="7966" max="7966" width="17.33203125" style="72" customWidth="1"/>
    <col min="7967" max="7967" width="16.5" style="72" bestFit="1" customWidth="1"/>
    <col min="7968" max="7968" width="10.83203125" style="72" bestFit="1" customWidth="1"/>
    <col min="7969" max="8205" width="9.1640625" style="72"/>
    <col min="8206" max="8206" width="29.33203125" style="72" customWidth="1"/>
    <col min="8207" max="8208" width="20.1640625" style="72" customWidth="1"/>
    <col min="8209" max="8210" width="17.1640625" style="72" customWidth="1"/>
    <col min="8211" max="8211" width="21.5" style="72" customWidth="1"/>
    <col min="8212" max="8212" width="18.33203125" style="72" customWidth="1"/>
    <col min="8213" max="8213" width="28.5" style="72" customWidth="1"/>
    <col min="8214" max="8214" width="21" style="72" customWidth="1"/>
    <col min="8215" max="8215" width="17.5" style="72" customWidth="1"/>
    <col min="8216" max="8216" width="22.6640625" style="72" customWidth="1"/>
    <col min="8217" max="8217" width="17.1640625" style="72" customWidth="1"/>
    <col min="8218" max="8218" width="15.83203125" style="72" customWidth="1"/>
    <col min="8219" max="8219" width="15.5" style="72" customWidth="1"/>
    <col min="8220" max="8220" width="16" style="72" customWidth="1"/>
    <col min="8221" max="8221" width="9.1640625" style="72" customWidth="1"/>
    <col min="8222" max="8222" width="17.33203125" style="72" customWidth="1"/>
    <col min="8223" max="8223" width="16.5" style="72" bestFit="1" customWidth="1"/>
    <col min="8224" max="8224" width="10.83203125" style="72" bestFit="1" customWidth="1"/>
    <col min="8225" max="8461" width="9.1640625" style="72"/>
    <col min="8462" max="8462" width="29.33203125" style="72" customWidth="1"/>
    <col min="8463" max="8464" width="20.1640625" style="72" customWidth="1"/>
    <col min="8465" max="8466" width="17.1640625" style="72" customWidth="1"/>
    <col min="8467" max="8467" width="21.5" style="72" customWidth="1"/>
    <col min="8468" max="8468" width="18.33203125" style="72" customWidth="1"/>
    <col min="8469" max="8469" width="28.5" style="72" customWidth="1"/>
    <col min="8470" max="8470" width="21" style="72" customWidth="1"/>
    <col min="8471" max="8471" width="17.5" style="72" customWidth="1"/>
    <col min="8472" max="8472" width="22.6640625" style="72" customWidth="1"/>
    <col min="8473" max="8473" width="17.1640625" style="72" customWidth="1"/>
    <col min="8474" max="8474" width="15.83203125" style="72" customWidth="1"/>
    <col min="8475" max="8475" width="15.5" style="72" customWidth="1"/>
    <col min="8476" max="8476" width="16" style="72" customWidth="1"/>
    <col min="8477" max="8477" width="9.1640625" style="72" customWidth="1"/>
    <col min="8478" max="8478" width="17.33203125" style="72" customWidth="1"/>
    <col min="8479" max="8479" width="16.5" style="72" bestFit="1" customWidth="1"/>
    <col min="8480" max="8480" width="10.83203125" style="72" bestFit="1" customWidth="1"/>
    <col min="8481" max="8717" width="9.1640625" style="72"/>
    <col min="8718" max="8718" width="29.33203125" style="72" customWidth="1"/>
    <col min="8719" max="8720" width="20.1640625" style="72" customWidth="1"/>
    <col min="8721" max="8722" width="17.1640625" style="72" customWidth="1"/>
    <col min="8723" max="8723" width="21.5" style="72" customWidth="1"/>
    <col min="8724" max="8724" width="18.33203125" style="72" customWidth="1"/>
    <col min="8725" max="8725" width="28.5" style="72" customWidth="1"/>
    <col min="8726" max="8726" width="21" style="72" customWidth="1"/>
    <col min="8727" max="8727" width="17.5" style="72" customWidth="1"/>
    <col min="8728" max="8728" width="22.6640625" style="72" customWidth="1"/>
    <col min="8729" max="8729" width="17.1640625" style="72" customWidth="1"/>
    <col min="8730" max="8730" width="15.83203125" style="72" customWidth="1"/>
    <col min="8731" max="8731" width="15.5" style="72" customWidth="1"/>
    <col min="8732" max="8732" width="16" style="72" customWidth="1"/>
    <col min="8733" max="8733" width="9.1640625" style="72" customWidth="1"/>
    <col min="8734" max="8734" width="17.33203125" style="72" customWidth="1"/>
    <col min="8735" max="8735" width="16.5" style="72" bestFit="1" customWidth="1"/>
    <col min="8736" max="8736" width="10.83203125" style="72" bestFit="1" customWidth="1"/>
    <col min="8737" max="8973" width="9.1640625" style="72"/>
    <col min="8974" max="8974" width="29.33203125" style="72" customWidth="1"/>
    <col min="8975" max="8976" width="20.1640625" style="72" customWidth="1"/>
    <col min="8977" max="8978" width="17.1640625" style="72" customWidth="1"/>
    <col min="8979" max="8979" width="21.5" style="72" customWidth="1"/>
    <col min="8980" max="8980" width="18.33203125" style="72" customWidth="1"/>
    <col min="8981" max="8981" width="28.5" style="72" customWidth="1"/>
    <col min="8982" max="8982" width="21" style="72" customWidth="1"/>
    <col min="8983" max="8983" width="17.5" style="72" customWidth="1"/>
    <col min="8984" max="8984" width="22.6640625" style="72" customWidth="1"/>
    <col min="8985" max="8985" width="17.1640625" style="72" customWidth="1"/>
    <col min="8986" max="8986" width="15.83203125" style="72" customWidth="1"/>
    <col min="8987" max="8987" width="15.5" style="72" customWidth="1"/>
    <col min="8988" max="8988" width="16" style="72" customWidth="1"/>
    <col min="8989" max="8989" width="9.1640625" style="72" customWidth="1"/>
    <col min="8990" max="8990" width="17.33203125" style="72" customWidth="1"/>
    <col min="8991" max="8991" width="16.5" style="72" bestFit="1" customWidth="1"/>
    <col min="8992" max="8992" width="10.83203125" style="72" bestFit="1" customWidth="1"/>
    <col min="8993" max="9229" width="9.1640625" style="72"/>
    <col min="9230" max="9230" width="29.33203125" style="72" customWidth="1"/>
    <col min="9231" max="9232" width="20.1640625" style="72" customWidth="1"/>
    <col min="9233" max="9234" width="17.1640625" style="72" customWidth="1"/>
    <col min="9235" max="9235" width="21.5" style="72" customWidth="1"/>
    <col min="9236" max="9236" width="18.33203125" style="72" customWidth="1"/>
    <col min="9237" max="9237" width="28.5" style="72" customWidth="1"/>
    <col min="9238" max="9238" width="21" style="72" customWidth="1"/>
    <col min="9239" max="9239" width="17.5" style="72" customWidth="1"/>
    <col min="9240" max="9240" width="22.6640625" style="72" customWidth="1"/>
    <col min="9241" max="9241" width="17.1640625" style="72" customWidth="1"/>
    <col min="9242" max="9242" width="15.83203125" style="72" customWidth="1"/>
    <col min="9243" max="9243" width="15.5" style="72" customWidth="1"/>
    <col min="9244" max="9244" width="16" style="72" customWidth="1"/>
    <col min="9245" max="9245" width="9.1640625" style="72" customWidth="1"/>
    <col min="9246" max="9246" width="17.33203125" style="72" customWidth="1"/>
    <col min="9247" max="9247" width="16.5" style="72" bestFit="1" customWidth="1"/>
    <col min="9248" max="9248" width="10.83203125" style="72" bestFit="1" customWidth="1"/>
    <col min="9249" max="9485" width="9.1640625" style="72"/>
    <col min="9486" max="9486" width="29.33203125" style="72" customWidth="1"/>
    <col min="9487" max="9488" width="20.1640625" style="72" customWidth="1"/>
    <col min="9489" max="9490" width="17.1640625" style="72" customWidth="1"/>
    <col min="9491" max="9491" width="21.5" style="72" customWidth="1"/>
    <col min="9492" max="9492" width="18.33203125" style="72" customWidth="1"/>
    <col min="9493" max="9493" width="28.5" style="72" customWidth="1"/>
    <col min="9494" max="9494" width="21" style="72" customWidth="1"/>
    <col min="9495" max="9495" width="17.5" style="72" customWidth="1"/>
    <col min="9496" max="9496" width="22.6640625" style="72" customWidth="1"/>
    <col min="9497" max="9497" width="17.1640625" style="72" customWidth="1"/>
    <col min="9498" max="9498" width="15.83203125" style="72" customWidth="1"/>
    <col min="9499" max="9499" width="15.5" style="72" customWidth="1"/>
    <col min="9500" max="9500" width="16" style="72" customWidth="1"/>
    <col min="9501" max="9501" width="9.1640625" style="72" customWidth="1"/>
    <col min="9502" max="9502" width="17.33203125" style="72" customWidth="1"/>
    <col min="9503" max="9503" width="16.5" style="72" bestFit="1" customWidth="1"/>
    <col min="9504" max="9504" width="10.83203125" style="72" bestFit="1" customWidth="1"/>
    <col min="9505" max="9741" width="9.1640625" style="72"/>
    <col min="9742" max="9742" width="29.33203125" style="72" customWidth="1"/>
    <col min="9743" max="9744" width="20.1640625" style="72" customWidth="1"/>
    <col min="9745" max="9746" width="17.1640625" style="72" customWidth="1"/>
    <col min="9747" max="9747" width="21.5" style="72" customWidth="1"/>
    <col min="9748" max="9748" width="18.33203125" style="72" customWidth="1"/>
    <col min="9749" max="9749" width="28.5" style="72" customWidth="1"/>
    <col min="9750" max="9750" width="21" style="72" customWidth="1"/>
    <col min="9751" max="9751" width="17.5" style="72" customWidth="1"/>
    <col min="9752" max="9752" width="22.6640625" style="72" customWidth="1"/>
    <col min="9753" max="9753" width="17.1640625" style="72" customWidth="1"/>
    <col min="9754" max="9754" width="15.83203125" style="72" customWidth="1"/>
    <col min="9755" max="9755" width="15.5" style="72" customWidth="1"/>
    <col min="9756" max="9756" width="16" style="72" customWidth="1"/>
    <col min="9757" max="9757" width="9.1640625" style="72" customWidth="1"/>
    <col min="9758" max="9758" width="17.33203125" style="72" customWidth="1"/>
    <col min="9759" max="9759" width="16.5" style="72" bestFit="1" customWidth="1"/>
    <col min="9760" max="9760" width="10.83203125" style="72" bestFit="1" customWidth="1"/>
    <col min="9761" max="9997" width="9.1640625" style="72"/>
    <col min="9998" max="9998" width="29.33203125" style="72" customWidth="1"/>
    <col min="9999" max="10000" width="20.1640625" style="72" customWidth="1"/>
    <col min="10001" max="10002" width="17.1640625" style="72" customWidth="1"/>
    <col min="10003" max="10003" width="21.5" style="72" customWidth="1"/>
    <col min="10004" max="10004" width="18.33203125" style="72" customWidth="1"/>
    <col min="10005" max="10005" width="28.5" style="72" customWidth="1"/>
    <col min="10006" max="10006" width="21" style="72" customWidth="1"/>
    <col min="10007" max="10007" width="17.5" style="72" customWidth="1"/>
    <col min="10008" max="10008" width="22.6640625" style="72" customWidth="1"/>
    <col min="10009" max="10009" width="17.1640625" style="72" customWidth="1"/>
    <col min="10010" max="10010" width="15.83203125" style="72" customWidth="1"/>
    <col min="10011" max="10011" width="15.5" style="72" customWidth="1"/>
    <col min="10012" max="10012" width="16" style="72" customWidth="1"/>
    <col min="10013" max="10013" width="9.1640625" style="72" customWidth="1"/>
    <col min="10014" max="10014" width="17.33203125" style="72" customWidth="1"/>
    <col min="10015" max="10015" width="16.5" style="72" bestFit="1" customWidth="1"/>
    <col min="10016" max="10016" width="10.83203125" style="72" bestFit="1" customWidth="1"/>
    <col min="10017" max="10253" width="9.1640625" style="72"/>
    <col min="10254" max="10254" width="29.33203125" style="72" customWidth="1"/>
    <col min="10255" max="10256" width="20.1640625" style="72" customWidth="1"/>
    <col min="10257" max="10258" width="17.1640625" style="72" customWidth="1"/>
    <col min="10259" max="10259" width="21.5" style="72" customWidth="1"/>
    <col min="10260" max="10260" width="18.33203125" style="72" customWidth="1"/>
    <col min="10261" max="10261" width="28.5" style="72" customWidth="1"/>
    <col min="10262" max="10262" width="21" style="72" customWidth="1"/>
    <col min="10263" max="10263" width="17.5" style="72" customWidth="1"/>
    <col min="10264" max="10264" width="22.6640625" style="72" customWidth="1"/>
    <col min="10265" max="10265" width="17.1640625" style="72" customWidth="1"/>
    <col min="10266" max="10266" width="15.83203125" style="72" customWidth="1"/>
    <col min="10267" max="10267" width="15.5" style="72" customWidth="1"/>
    <col min="10268" max="10268" width="16" style="72" customWidth="1"/>
    <col min="10269" max="10269" width="9.1640625" style="72" customWidth="1"/>
    <col min="10270" max="10270" width="17.33203125" style="72" customWidth="1"/>
    <col min="10271" max="10271" width="16.5" style="72" bestFit="1" customWidth="1"/>
    <col min="10272" max="10272" width="10.83203125" style="72" bestFit="1" customWidth="1"/>
    <col min="10273" max="10509" width="9.1640625" style="72"/>
    <col min="10510" max="10510" width="29.33203125" style="72" customWidth="1"/>
    <col min="10511" max="10512" width="20.1640625" style="72" customWidth="1"/>
    <col min="10513" max="10514" width="17.1640625" style="72" customWidth="1"/>
    <col min="10515" max="10515" width="21.5" style="72" customWidth="1"/>
    <col min="10516" max="10516" width="18.33203125" style="72" customWidth="1"/>
    <col min="10517" max="10517" width="28.5" style="72" customWidth="1"/>
    <col min="10518" max="10518" width="21" style="72" customWidth="1"/>
    <col min="10519" max="10519" width="17.5" style="72" customWidth="1"/>
    <col min="10520" max="10520" width="22.6640625" style="72" customWidth="1"/>
    <col min="10521" max="10521" width="17.1640625" style="72" customWidth="1"/>
    <col min="10522" max="10522" width="15.83203125" style="72" customWidth="1"/>
    <col min="10523" max="10523" width="15.5" style="72" customWidth="1"/>
    <col min="10524" max="10524" width="16" style="72" customWidth="1"/>
    <col min="10525" max="10525" width="9.1640625" style="72" customWidth="1"/>
    <col min="10526" max="10526" width="17.33203125" style="72" customWidth="1"/>
    <col min="10527" max="10527" width="16.5" style="72" bestFit="1" customWidth="1"/>
    <col min="10528" max="10528" width="10.83203125" style="72" bestFit="1" customWidth="1"/>
    <col min="10529" max="10765" width="9.1640625" style="72"/>
    <col min="10766" max="10766" width="29.33203125" style="72" customWidth="1"/>
    <col min="10767" max="10768" width="20.1640625" style="72" customWidth="1"/>
    <col min="10769" max="10770" width="17.1640625" style="72" customWidth="1"/>
    <col min="10771" max="10771" width="21.5" style="72" customWidth="1"/>
    <col min="10772" max="10772" width="18.33203125" style="72" customWidth="1"/>
    <col min="10773" max="10773" width="28.5" style="72" customWidth="1"/>
    <col min="10774" max="10774" width="21" style="72" customWidth="1"/>
    <col min="10775" max="10775" width="17.5" style="72" customWidth="1"/>
    <col min="10776" max="10776" width="22.6640625" style="72" customWidth="1"/>
    <col min="10777" max="10777" width="17.1640625" style="72" customWidth="1"/>
    <col min="10778" max="10778" width="15.83203125" style="72" customWidth="1"/>
    <col min="10779" max="10779" width="15.5" style="72" customWidth="1"/>
    <col min="10780" max="10780" width="16" style="72" customWidth="1"/>
    <col min="10781" max="10781" width="9.1640625" style="72" customWidth="1"/>
    <col min="10782" max="10782" width="17.33203125" style="72" customWidth="1"/>
    <col min="10783" max="10783" width="16.5" style="72" bestFit="1" customWidth="1"/>
    <col min="10784" max="10784" width="10.83203125" style="72" bestFit="1" customWidth="1"/>
    <col min="10785" max="11021" width="9.1640625" style="72"/>
    <col min="11022" max="11022" width="29.33203125" style="72" customWidth="1"/>
    <col min="11023" max="11024" width="20.1640625" style="72" customWidth="1"/>
    <col min="11025" max="11026" width="17.1640625" style="72" customWidth="1"/>
    <col min="11027" max="11027" width="21.5" style="72" customWidth="1"/>
    <col min="11028" max="11028" width="18.33203125" style="72" customWidth="1"/>
    <col min="11029" max="11029" width="28.5" style="72" customWidth="1"/>
    <col min="11030" max="11030" width="21" style="72" customWidth="1"/>
    <col min="11031" max="11031" width="17.5" style="72" customWidth="1"/>
    <col min="11032" max="11032" width="22.6640625" style="72" customWidth="1"/>
    <col min="11033" max="11033" width="17.1640625" style="72" customWidth="1"/>
    <col min="11034" max="11034" width="15.83203125" style="72" customWidth="1"/>
    <col min="11035" max="11035" width="15.5" style="72" customWidth="1"/>
    <col min="11036" max="11036" width="16" style="72" customWidth="1"/>
    <col min="11037" max="11037" width="9.1640625" style="72" customWidth="1"/>
    <col min="11038" max="11038" width="17.33203125" style="72" customWidth="1"/>
    <col min="11039" max="11039" width="16.5" style="72" bestFit="1" customWidth="1"/>
    <col min="11040" max="11040" width="10.83203125" style="72" bestFit="1" customWidth="1"/>
    <col min="11041" max="11277" width="9.1640625" style="72"/>
    <col min="11278" max="11278" width="29.33203125" style="72" customWidth="1"/>
    <col min="11279" max="11280" width="20.1640625" style="72" customWidth="1"/>
    <col min="11281" max="11282" width="17.1640625" style="72" customWidth="1"/>
    <col min="11283" max="11283" width="21.5" style="72" customWidth="1"/>
    <col min="11284" max="11284" width="18.33203125" style="72" customWidth="1"/>
    <col min="11285" max="11285" width="28.5" style="72" customWidth="1"/>
    <col min="11286" max="11286" width="21" style="72" customWidth="1"/>
    <col min="11287" max="11287" width="17.5" style="72" customWidth="1"/>
    <col min="11288" max="11288" width="22.6640625" style="72" customWidth="1"/>
    <col min="11289" max="11289" width="17.1640625" style="72" customWidth="1"/>
    <col min="11290" max="11290" width="15.83203125" style="72" customWidth="1"/>
    <col min="11291" max="11291" width="15.5" style="72" customWidth="1"/>
    <col min="11292" max="11292" width="16" style="72" customWidth="1"/>
    <col min="11293" max="11293" width="9.1640625" style="72" customWidth="1"/>
    <col min="11294" max="11294" width="17.33203125" style="72" customWidth="1"/>
    <col min="11295" max="11295" width="16.5" style="72" bestFit="1" customWidth="1"/>
    <col min="11296" max="11296" width="10.83203125" style="72" bestFit="1" customWidth="1"/>
    <col min="11297" max="11533" width="9.1640625" style="72"/>
    <col min="11534" max="11534" width="29.33203125" style="72" customWidth="1"/>
    <col min="11535" max="11536" width="20.1640625" style="72" customWidth="1"/>
    <col min="11537" max="11538" width="17.1640625" style="72" customWidth="1"/>
    <col min="11539" max="11539" width="21.5" style="72" customWidth="1"/>
    <col min="11540" max="11540" width="18.33203125" style="72" customWidth="1"/>
    <col min="11541" max="11541" width="28.5" style="72" customWidth="1"/>
    <col min="11542" max="11542" width="21" style="72" customWidth="1"/>
    <col min="11543" max="11543" width="17.5" style="72" customWidth="1"/>
    <col min="11544" max="11544" width="22.6640625" style="72" customWidth="1"/>
    <col min="11545" max="11545" width="17.1640625" style="72" customWidth="1"/>
    <col min="11546" max="11546" width="15.83203125" style="72" customWidth="1"/>
    <col min="11547" max="11547" width="15.5" style="72" customWidth="1"/>
    <col min="11548" max="11548" width="16" style="72" customWidth="1"/>
    <col min="11549" max="11549" width="9.1640625" style="72" customWidth="1"/>
    <col min="11550" max="11550" width="17.33203125" style="72" customWidth="1"/>
    <col min="11551" max="11551" width="16.5" style="72" bestFit="1" customWidth="1"/>
    <col min="11552" max="11552" width="10.83203125" style="72" bestFit="1" customWidth="1"/>
    <col min="11553" max="11789" width="9.1640625" style="72"/>
    <col min="11790" max="11790" width="29.33203125" style="72" customWidth="1"/>
    <col min="11791" max="11792" width="20.1640625" style="72" customWidth="1"/>
    <col min="11793" max="11794" width="17.1640625" style="72" customWidth="1"/>
    <col min="11795" max="11795" width="21.5" style="72" customWidth="1"/>
    <col min="11796" max="11796" width="18.33203125" style="72" customWidth="1"/>
    <col min="11797" max="11797" width="28.5" style="72" customWidth="1"/>
    <col min="11798" max="11798" width="21" style="72" customWidth="1"/>
    <col min="11799" max="11799" width="17.5" style="72" customWidth="1"/>
    <col min="11800" max="11800" width="22.6640625" style="72" customWidth="1"/>
    <col min="11801" max="11801" width="17.1640625" style="72" customWidth="1"/>
    <col min="11802" max="11802" width="15.83203125" style="72" customWidth="1"/>
    <col min="11803" max="11803" width="15.5" style="72" customWidth="1"/>
    <col min="11804" max="11804" width="16" style="72" customWidth="1"/>
    <col min="11805" max="11805" width="9.1640625" style="72" customWidth="1"/>
    <col min="11806" max="11806" width="17.33203125" style="72" customWidth="1"/>
    <col min="11807" max="11807" width="16.5" style="72" bestFit="1" customWidth="1"/>
    <col min="11808" max="11808" width="10.83203125" style="72" bestFit="1" customWidth="1"/>
    <col min="11809" max="12045" width="9.1640625" style="72"/>
    <col min="12046" max="12046" width="29.33203125" style="72" customWidth="1"/>
    <col min="12047" max="12048" width="20.1640625" style="72" customWidth="1"/>
    <col min="12049" max="12050" width="17.1640625" style="72" customWidth="1"/>
    <col min="12051" max="12051" width="21.5" style="72" customWidth="1"/>
    <col min="12052" max="12052" width="18.33203125" style="72" customWidth="1"/>
    <col min="12053" max="12053" width="28.5" style="72" customWidth="1"/>
    <col min="12054" max="12054" width="21" style="72" customWidth="1"/>
    <col min="12055" max="12055" width="17.5" style="72" customWidth="1"/>
    <col min="12056" max="12056" width="22.6640625" style="72" customWidth="1"/>
    <col min="12057" max="12057" width="17.1640625" style="72" customWidth="1"/>
    <col min="12058" max="12058" width="15.83203125" style="72" customWidth="1"/>
    <col min="12059" max="12059" width="15.5" style="72" customWidth="1"/>
    <col min="12060" max="12060" width="16" style="72" customWidth="1"/>
    <col min="12061" max="12061" width="9.1640625" style="72" customWidth="1"/>
    <col min="12062" max="12062" width="17.33203125" style="72" customWidth="1"/>
    <col min="12063" max="12063" width="16.5" style="72" bestFit="1" customWidth="1"/>
    <col min="12064" max="12064" width="10.83203125" style="72" bestFit="1" customWidth="1"/>
    <col min="12065" max="12301" width="9.1640625" style="72"/>
    <col min="12302" max="12302" width="29.33203125" style="72" customWidth="1"/>
    <col min="12303" max="12304" width="20.1640625" style="72" customWidth="1"/>
    <col min="12305" max="12306" width="17.1640625" style="72" customWidth="1"/>
    <col min="12307" max="12307" width="21.5" style="72" customWidth="1"/>
    <col min="12308" max="12308" width="18.33203125" style="72" customWidth="1"/>
    <col min="12309" max="12309" width="28.5" style="72" customWidth="1"/>
    <col min="12310" max="12310" width="21" style="72" customWidth="1"/>
    <col min="12311" max="12311" width="17.5" style="72" customWidth="1"/>
    <col min="12312" max="12312" width="22.6640625" style="72" customWidth="1"/>
    <col min="12313" max="12313" width="17.1640625" style="72" customWidth="1"/>
    <col min="12314" max="12314" width="15.83203125" style="72" customWidth="1"/>
    <col min="12315" max="12315" width="15.5" style="72" customWidth="1"/>
    <col min="12316" max="12316" width="16" style="72" customWidth="1"/>
    <col min="12317" max="12317" width="9.1640625" style="72" customWidth="1"/>
    <col min="12318" max="12318" width="17.33203125" style="72" customWidth="1"/>
    <col min="12319" max="12319" width="16.5" style="72" bestFit="1" customWidth="1"/>
    <col min="12320" max="12320" width="10.83203125" style="72" bestFit="1" customWidth="1"/>
    <col min="12321" max="12557" width="9.1640625" style="72"/>
    <col min="12558" max="12558" width="29.33203125" style="72" customWidth="1"/>
    <col min="12559" max="12560" width="20.1640625" style="72" customWidth="1"/>
    <col min="12561" max="12562" width="17.1640625" style="72" customWidth="1"/>
    <col min="12563" max="12563" width="21.5" style="72" customWidth="1"/>
    <col min="12564" max="12564" width="18.33203125" style="72" customWidth="1"/>
    <col min="12565" max="12565" width="28.5" style="72" customWidth="1"/>
    <col min="12566" max="12566" width="21" style="72" customWidth="1"/>
    <col min="12567" max="12567" width="17.5" style="72" customWidth="1"/>
    <col min="12568" max="12568" width="22.6640625" style="72" customWidth="1"/>
    <col min="12569" max="12569" width="17.1640625" style="72" customWidth="1"/>
    <col min="12570" max="12570" width="15.83203125" style="72" customWidth="1"/>
    <col min="12571" max="12571" width="15.5" style="72" customWidth="1"/>
    <col min="12572" max="12572" width="16" style="72" customWidth="1"/>
    <col min="12573" max="12573" width="9.1640625" style="72" customWidth="1"/>
    <col min="12574" max="12574" width="17.33203125" style="72" customWidth="1"/>
    <col min="12575" max="12575" width="16.5" style="72" bestFit="1" customWidth="1"/>
    <col min="12576" max="12576" width="10.83203125" style="72" bestFit="1" customWidth="1"/>
    <col min="12577" max="12813" width="9.1640625" style="72"/>
    <col min="12814" max="12814" width="29.33203125" style="72" customWidth="1"/>
    <col min="12815" max="12816" width="20.1640625" style="72" customWidth="1"/>
    <col min="12817" max="12818" width="17.1640625" style="72" customWidth="1"/>
    <col min="12819" max="12819" width="21.5" style="72" customWidth="1"/>
    <col min="12820" max="12820" width="18.33203125" style="72" customWidth="1"/>
    <col min="12821" max="12821" width="28.5" style="72" customWidth="1"/>
    <col min="12822" max="12822" width="21" style="72" customWidth="1"/>
    <col min="12823" max="12823" width="17.5" style="72" customWidth="1"/>
    <col min="12824" max="12824" width="22.6640625" style="72" customWidth="1"/>
    <col min="12825" max="12825" width="17.1640625" style="72" customWidth="1"/>
    <col min="12826" max="12826" width="15.83203125" style="72" customWidth="1"/>
    <col min="12827" max="12827" width="15.5" style="72" customWidth="1"/>
    <col min="12828" max="12828" width="16" style="72" customWidth="1"/>
    <col min="12829" max="12829" width="9.1640625" style="72" customWidth="1"/>
    <col min="12830" max="12830" width="17.33203125" style="72" customWidth="1"/>
    <col min="12831" max="12831" width="16.5" style="72" bestFit="1" customWidth="1"/>
    <col min="12832" max="12832" width="10.83203125" style="72" bestFit="1" customWidth="1"/>
    <col min="12833" max="13069" width="9.1640625" style="72"/>
    <col min="13070" max="13070" width="29.33203125" style="72" customWidth="1"/>
    <col min="13071" max="13072" width="20.1640625" style="72" customWidth="1"/>
    <col min="13073" max="13074" width="17.1640625" style="72" customWidth="1"/>
    <col min="13075" max="13075" width="21.5" style="72" customWidth="1"/>
    <col min="13076" max="13076" width="18.33203125" style="72" customWidth="1"/>
    <col min="13077" max="13077" width="28.5" style="72" customWidth="1"/>
    <col min="13078" max="13078" width="21" style="72" customWidth="1"/>
    <col min="13079" max="13079" width="17.5" style="72" customWidth="1"/>
    <col min="13080" max="13080" width="22.6640625" style="72" customWidth="1"/>
    <col min="13081" max="13081" width="17.1640625" style="72" customWidth="1"/>
    <col min="13082" max="13082" width="15.83203125" style="72" customWidth="1"/>
    <col min="13083" max="13083" width="15.5" style="72" customWidth="1"/>
    <col min="13084" max="13084" width="16" style="72" customWidth="1"/>
    <col min="13085" max="13085" width="9.1640625" style="72" customWidth="1"/>
    <col min="13086" max="13086" width="17.33203125" style="72" customWidth="1"/>
    <col min="13087" max="13087" width="16.5" style="72" bestFit="1" customWidth="1"/>
    <col min="13088" max="13088" width="10.83203125" style="72" bestFit="1" customWidth="1"/>
    <col min="13089" max="13325" width="9.1640625" style="72"/>
    <col min="13326" max="13326" width="29.33203125" style="72" customWidth="1"/>
    <col min="13327" max="13328" width="20.1640625" style="72" customWidth="1"/>
    <col min="13329" max="13330" width="17.1640625" style="72" customWidth="1"/>
    <col min="13331" max="13331" width="21.5" style="72" customWidth="1"/>
    <col min="13332" max="13332" width="18.33203125" style="72" customWidth="1"/>
    <col min="13333" max="13333" width="28.5" style="72" customWidth="1"/>
    <col min="13334" max="13334" width="21" style="72" customWidth="1"/>
    <col min="13335" max="13335" width="17.5" style="72" customWidth="1"/>
    <col min="13336" max="13336" width="22.6640625" style="72" customWidth="1"/>
    <col min="13337" max="13337" width="17.1640625" style="72" customWidth="1"/>
    <col min="13338" max="13338" width="15.83203125" style="72" customWidth="1"/>
    <col min="13339" max="13339" width="15.5" style="72" customWidth="1"/>
    <col min="13340" max="13340" width="16" style="72" customWidth="1"/>
    <col min="13341" max="13341" width="9.1640625" style="72" customWidth="1"/>
    <col min="13342" max="13342" width="17.33203125" style="72" customWidth="1"/>
    <col min="13343" max="13343" width="16.5" style="72" bestFit="1" customWidth="1"/>
    <col min="13344" max="13344" width="10.83203125" style="72" bestFit="1" customWidth="1"/>
    <col min="13345" max="13581" width="9.1640625" style="72"/>
    <col min="13582" max="13582" width="29.33203125" style="72" customWidth="1"/>
    <col min="13583" max="13584" width="20.1640625" style="72" customWidth="1"/>
    <col min="13585" max="13586" width="17.1640625" style="72" customWidth="1"/>
    <col min="13587" max="13587" width="21.5" style="72" customWidth="1"/>
    <col min="13588" max="13588" width="18.33203125" style="72" customWidth="1"/>
    <col min="13589" max="13589" width="28.5" style="72" customWidth="1"/>
    <col min="13590" max="13590" width="21" style="72" customWidth="1"/>
    <col min="13591" max="13591" width="17.5" style="72" customWidth="1"/>
    <col min="13592" max="13592" width="22.6640625" style="72" customWidth="1"/>
    <col min="13593" max="13593" width="17.1640625" style="72" customWidth="1"/>
    <col min="13594" max="13594" width="15.83203125" style="72" customWidth="1"/>
    <col min="13595" max="13595" width="15.5" style="72" customWidth="1"/>
    <col min="13596" max="13596" width="16" style="72" customWidth="1"/>
    <col min="13597" max="13597" width="9.1640625" style="72" customWidth="1"/>
    <col min="13598" max="13598" width="17.33203125" style="72" customWidth="1"/>
    <col min="13599" max="13599" width="16.5" style="72" bestFit="1" customWidth="1"/>
    <col min="13600" max="13600" width="10.83203125" style="72" bestFit="1" customWidth="1"/>
    <col min="13601" max="13837" width="9.1640625" style="72"/>
    <col min="13838" max="13838" width="29.33203125" style="72" customWidth="1"/>
    <col min="13839" max="13840" width="20.1640625" style="72" customWidth="1"/>
    <col min="13841" max="13842" width="17.1640625" style="72" customWidth="1"/>
    <col min="13843" max="13843" width="21.5" style="72" customWidth="1"/>
    <col min="13844" max="13844" width="18.33203125" style="72" customWidth="1"/>
    <col min="13845" max="13845" width="28.5" style="72" customWidth="1"/>
    <col min="13846" max="13846" width="21" style="72" customWidth="1"/>
    <col min="13847" max="13847" width="17.5" style="72" customWidth="1"/>
    <col min="13848" max="13848" width="22.6640625" style="72" customWidth="1"/>
    <col min="13849" max="13849" width="17.1640625" style="72" customWidth="1"/>
    <col min="13850" max="13850" width="15.83203125" style="72" customWidth="1"/>
    <col min="13851" max="13851" width="15.5" style="72" customWidth="1"/>
    <col min="13852" max="13852" width="16" style="72" customWidth="1"/>
    <col min="13853" max="13853" width="9.1640625" style="72" customWidth="1"/>
    <col min="13854" max="13854" width="17.33203125" style="72" customWidth="1"/>
    <col min="13855" max="13855" width="16.5" style="72" bestFit="1" customWidth="1"/>
    <col min="13856" max="13856" width="10.83203125" style="72" bestFit="1" customWidth="1"/>
    <col min="13857" max="14093" width="9.1640625" style="72"/>
    <col min="14094" max="14094" width="29.33203125" style="72" customWidth="1"/>
    <col min="14095" max="14096" width="20.1640625" style="72" customWidth="1"/>
    <col min="14097" max="14098" width="17.1640625" style="72" customWidth="1"/>
    <col min="14099" max="14099" width="21.5" style="72" customWidth="1"/>
    <col min="14100" max="14100" width="18.33203125" style="72" customWidth="1"/>
    <col min="14101" max="14101" width="28.5" style="72" customWidth="1"/>
    <col min="14102" max="14102" width="21" style="72" customWidth="1"/>
    <col min="14103" max="14103" width="17.5" style="72" customWidth="1"/>
    <col min="14104" max="14104" width="22.6640625" style="72" customWidth="1"/>
    <col min="14105" max="14105" width="17.1640625" style="72" customWidth="1"/>
    <col min="14106" max="14106" width="15.83203125" style="72" customWidth="1"/>
    <col min="14107" max="14107" width="15.5" style="72" customWidth="1"/>
    <col min="14108" max="14108" width="16" style="72" customWidth="1"/>
    <col min="14109" max="14109" width="9.1640625" style="72" customWidth="1"/>
    <col min="14110" max="14110" width="17.33203125" style="72" customWidth="1"/>
    <col min="14111" max="14111" width="16.5" style="72" bestFit="1" customWidth="1"/>
    <col min="14112" max="14112" width="10.83203125" style="72" bestFit="1" customWidth="1"/>
    <col min="14113" max="14349" width="9.1640625" style="72"/>
    <col min="14350" max="14350" width="29.33203125" style="72" customWidth="1"/>
    <col min="14351" max="14352" width="20.1640625" style="72" customWidth="1"/>
    <col min="14353" max="14354" width="17.1640625" style="72" customWidth="1"/>
    <col min="14355" max="14355" width="21.5" style="72" customWidth="1"/>
    <col min="14356" max="14356" width="18.33203125" style="72" customWidth="1"/>
    <col min="14357" max="14357" width="28.5" style="72" customWidth="1"/>
    <col min="14358" max="14358" width="21" style="72" customWidth="1"/>
    <col min="14359" max="14359" width="17.5" style="72" customWidth="1"/>
    <col min="14360" max="14360" width="22.6640625" style="72" customWidth="1"/>
    <col min="14361" max="14361" width="17.1640625" style="72" customWidth="1"/>
    <col min="14362" max="14362" width="15.83203125" style="72" customWidth="1"/>
    <col min="14363" max="14363" width="15.5" style="72" customWidth="1"/>
    <col min="14364" max="14364" width="16" style="72" customWidth="1"/>
    <col min="14365" max="14365" width="9.1640625" style="72" customWidth="1"/>
    <col min="14366" max="14366" width="17.33203125" style="72" customWidth="1"/>
    <col min="14367" max="14367" width="16.5" style="72" bestFit="1" customWidth="1"/>
    <col min="14368" max="14368" width="10.83203125" style="72" bestFit="1" customWidth="1"/>
    <col min="14369" max="14605" width="9.1640625" style="72"/>
    <col min="14606" max="14606" width="29.33203125" style="72" customWidth="1"/>
    <col min="14607" max="14608" width="20.1640625" style="72" customWidth="1"/>
    <col min="14609" max="14610" width="17.1640625" style="72" customWidth="1"/>
    <col min="14611" max="14611" width="21.5" style="72" customWidth="1"/>
    <col min="14612" max="14612" width="18.33203125" style="72" customWidth="1"/>
    <col min="14613" max="14613" width="28.5" style="72" customWidth="1"/>
    <col min="14614" max="14614" width="21" style="72" customWidth="1"/>
    <col min="14615" max="14615" width="17.5" style="72" customWidth="1"/>
    <col min="14616" max="14616" width="22.6640625" style="72" customWidth="1"/>
    <col min="14617" max="14617" width="17.1640625" style="72" customWidth="1"/>
    <col min="14618" max="14618" width="15.83203125" style="72" customWidth="1"/>
    <col min="14619" max="14619" width="15.5" style="72" customWidth="1"/>
    <col min="14620" max="14620" width="16" style="72" customWidth="1"/>
    <col min="14621" max="14621" width="9.1640625" style="72" customWidth="1"/>
    <col min="14622" max="14622" width="17.33203125" style="72" customWidth="1"/>
    <col min="14623" max="14623" width="16.5" style="72" bestFit="1" customWidth="1"/>
    <col min="14624" max="14624" width="10.83203125" style="72" bestFit="1" customWidth="1"/>
    <col min="14625" max="14861" width="9.1640625" style="72"/>
    <col min="14862" max="14862" width="29.33203125" style="72" customWidth="1"/>
    <col min="14863" max="14864" width="20.1640625" style="72" customWidth="1"/>
    <col min="14865" max="14866" width="17.1640625" style="72" customWidth="1"/>
    <col min="14867" max="14867" width="21.5" style="72" customWidth="1"/>
    <col min="14868" max="14868" width="18.33203125" style="72" customWidth="1"/>
    <col min="14869" max="14869" width="28.5" style="72" customWidth="1"/>
    <col min="14870" max="14870" width="21" style="72" customWidth="1"/>
    <col min="14871" max="14871" width="17.5" style="72" customWidth="1"/>
    <col min="14872" max="14872" width="22.6640625" style="72" customWidth="1"/>
    <col min="14873" max="14873" width="17.1640625" style="72" customWidth="1"/>
    <col min="14874" max="14874" width="15.83203125" style="72" customWidth="1"/>
    <col min="14875" max="14875" width="15.5" style="72" customWidth="1"/>
    <col min="14876" max="14876" width="16" style="72" customWidth="1"/>
    <col min="14877" max="14877" width="9.1640625" style="72" customWidth="1"/>
    <col min="14878" max="14878" width="17.33203125" style="72" customWidth="1"/>
    <col min="14879" max="14879" width="16.5" style="72" bestFit="1" customWidth="1"/>
    <col min="14880" max="14880" width="10.83203125" style="72" bestFit="1" customWidth="1"/>
    <col min="14881" max="15117" width="9.1640625" style="72"/>
    <col min="15118" max="15118" width="29.33203125" style="72" customWidth="1"/>
    <col min="15119" max="15120" width="20.1640625" style="72" customWidth="1"/>
    <col min="15121" max="15122" width="17.1640625" style="72" customWidth="1"/>
    <col min="15123" max="15123" width="21.5" style="72" customWidth="1"/>
    <col min="15124" max="15124" width="18.33203125" style="72" customWidth="1"/>
    <col min="15125" max="15125" width="28.5" style="72" customWidth="1"/>
    <col min="15126" max="15126" width="21" style="72" customWidth="1"/>
    <col min="15127" max="15127" width="17.5" style="72" customWidth="1"/>
    <col min="15128" max="15128" width="22.6640625" style="72" customWidth="1"/>
    <col min="15129" max="15129" width="17.1640625" style="72" customWidth="1"/>
    <col min="15130" max="15130" width="15.83203125" style="72" customWidth="1"/>
    <col min="15131" max="15131" width="15.5" style="72" customWidth="1"/>
    <col min="15132" max="15132" width="16" style="72" customWidth="1"/>
    <col min="15133" max="15133" width="9.1640625" style="72" customWidth="1"/>
    <col min="15134" max="15134" width="17.33203125" style="72" customWidth="1"/>
    <col min="15135" max="15135" width="16.5" style="72" bestFit="1" customWidth="1"/>
    <col min="15136" max="15136" width="10.83203125" style="72" bestFit="1" customWidth="1"/>
    <col min="15137" max="15373" width="9.1640625" style="72"/>
    <col min="15374" max="15374" width="29.33203125" style="72" customWidth="1"/>
    <col min="15375" max="15376" width="20.1640625" style="72" customWidth="1"/>
    <col min="15377" max="15378" width="17.1640625" style="72" customWidth="1"/>
    <col min="15379" max="15379" width="21.5" style="72" customWidth="1"/>
    <col min="15380" max="15380" width="18.33203125" style="72" customWidth="1"/>
    <col min="15381" max="15381" width="28.5" style="72" customWidth="1"/>
    <col min="15382" max="15382" width="21" style="72" customWidth="1"/>
    <col min="15383" max="15383" width="17.5" style="72" customWidth="1"/>
    <col min="15384" max="15384" width="22.6640625" style="72" customWidth="1"/>
    <col min="15385" max="15385" width="17.1640625" style="72" customWidth="1"/>
    <col min="15386" max="15386" width="15.83203125" style="72" customWidth="1"/>
    <col min="15387" max="15387" width="15.5" style="72" customWidth="1"/>
    <col min="15388" max="15388" width="16" style="72" customWidth="1"/>
    <col min="15389" max="15389" width="9.1640625" style="72" customWidth="1"/>
    <col min="15390" max="15390" width="17.33203125" style="72" customWidth="1"/>
    <col min="15391" max="15391" width="16.5" style="72" bestFit="1" customWidth="1"/>
    <col min="15392" max="15392" width="10.83203125" style="72" bestFit="1" customWidth="1"/>
    <col min="15393" max="15629" width="9.1640625" style="72"/>
    <col min="15630" max="15630" width="29.33203125" style="72" customWidth="1"/>
    <col min="15631" max="15632" width="20.1640625" style="72" customWidth="1"/>
    <col min="15633" max="15634" width="17.1640625" style="72" customWidth="1"/>
    <col min="15635" max="15635" width="21.5" style="72" customWidth="1"/>
    <col min="15636" max="15636" width="18.33203125" style="72" customWidth="1"/>
    <col min="15637" max="15637" width="28.5" style="72" customWidth="1"/>
    <col min="15638" max="15638" width="21" style="72" customWidth="1"/>
    <col min="15639" max="15639" width="17.5" style="72" customWidth="1"/>
    <col min="15640" max="15640" width="22.6640625" style="72" customWidth="1"/>
    <col min="15641" max="15641" width="17.1640625" style="72" customWidth="1"/>
    <col min="15642" max="15642" width="15.83203125" style="72" customWidth="1"/>
    <col min="15643" max="15643" width="15.5" style="72" customWidth="1"/>
    <col min="15644" max="15644" width="16" style="72" customWidth="1"/>
    <col min="15645" max="15645" width="9.1640625" style="72" customWidth="1"/>
    <col min="15646" max="15646" width="17.33203125" style="72" customWidth="1"/>
    <col min="15647" max="15647" width="16.5" style="72" bestFit="1" customWidth="1"/>
    <col min="15648" max="15648" width="10.83203125" style="72" bestFit="1" customWidth="1"/>
    <col min="15649" max="15885" width="9.1640625" style="72"/>
    <col min="15886" max="15886" width="29.33203125" style="72" customWidth="1"/>
    <col min="15887" max="15888" width="20.1640625" style="72" customWidth="1"/>
    <col min="15889" max="15890" width="17.1640625" style="72" customWidth="1"/>
    <col min="15891" max="15891" width="21.5" style="72" customWidth="1"/>
    <col min="15892" max="15892" width="18.33203125" style="72" customWidth="1"/>
    <col min="15893" max="15893" width="28.5" style="72" customWidth="1"/>
    <col min="15894" max="15894" width="21" style="72" customWidth="1"/>
    <col min="15895" max="15895" width="17.5" style="72" customWidth="1"/>
    <col min="15896" max="15896" width="22.6640625" style="72" customWidth="1"/>
    <col min="15897" max="15897" width="17.1640625" style="72" customWidth="1"/>
    <col min="15898" max="15898" width="15.83203125" style="72" customWidth="1"/>
    <col min="15899" max="15899" width="15.5" style="72" customWidth="1"/>
    <col min="15900" max="15900" width="16" style="72" customWidth="1"/>
    <col min="15901" max="15901" width="9.1640625" style="72" customWidth="1"/>
    <col min="15902" max="15902" width="17.33203125" style="72" customWidth="1"/>
    <col min="15903" max="15903" width="16.5" style="72" bestFit="1" customWidth="1"/>
    <col min="15904" max="15904" width="10.83203125" style="72" bestFit="1" customWidth="1"/>
    <col min="15905" max="16141" width="9.1640625" style="72"/>
    <col min="16142" max="16142" width="29.33203125" style="72" customWidth="1"/>
    <col min="16143" max="16144" width="20.1640625" style="72" customWidth="1"/>
    <col min="16145" max="16146" width="17.1640625" style="72" customWidth="1"/>
    <col min="16147" max="16147" width="21.5" style="72" customWidth="1"/>
    <col min="16148" max="16148" width="18.33203125" style="72" customWidth="1"/>
    <col min="16149" max="16149" width="28.5" style="72" customWidth="1"/>
    <col min="16150" max="16150" width="21" style="72" customWidth="1"/>
    <col min="16151" max="16151" width="17.5" style="72" customWidth="1"/>
    <col min="16152" max="16152" width="22.6640625" style="72" customWidth="1"/>
    <col min="16153" max="16153" width="17.1640625" style="72" customWidth="1"/>
    <col min="16154" max="16154" width="15.83203125" style="72" customWidth="1"/>
    <col min="16155" max="16155" width="15.5" style="72" customWidth="1"/>
    <col min="16156" max="16156" width="16" style="72" customWidth="1"/>
    <col min="16157" max="16157" width="9.1640625" style="72" customWidth="1"/>
    <col min="16158" max="16158" width="17.33203125" style="72" customWidth="1"/>
    <col min="16159" max="16159" width="16.5" style="72" bestFit="1" customWidth="1"/>
    <col min="16160" max="16160" width="10.83203125" style="72" bestFit="1" customWidth="1"/>
    <col min="16161" max="16384" width="9.1640625" style="72"/>
  </cols>
  <sheetData>
    <row r="1" spans="1:269" ht="17">
      <c r="A1" s="294" t="s">
        <v>81</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c r="IW1" s="25"/>
      <c r="IX1" s="25"/>
      <c r="IY1" s="25"/>
      <c r="IZ1" s="25"/>
      <c r="JA1" s="25"/>
      <c r="JB1" s="25"/>
      <c r="JC1" s="25"/>
      <c r="JD1" s="25"/>
      <c r="JE1" s="25"/>
      <c r="JF1" s="25"/>
      <c r="JG1" s="25"/>
      <c r="JH1" s="25"/>
      <c r="JI1" s="25"/>
    </row>
    <row r="2" spans="1:269" ht="17">
      <c r="A2" s="295" t="s">
        <v>151</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c r="JA2" s="25"/>
      <c r="JB2" s="25"/>
      <c r="JC2" s="25"/>
      <c r="JD2" s="25"/>
      <c r="JE2" s="25"/>
      <c r="JF2" s="25"/>
      <c r="JG2" s="25"/>
      <c r="JH2" s="25"/>
      <c r="JI2" s="25"/>
    </row>
    <row r="3" spans="1:269" ht="15">
      <c r="A3" s="296" t="s">
        <v>179</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c r="IW3" s="26"/>
      <c r="IX3" s="26"/>
      <c r="IY3" s="26"/>
      <c r="IZ3" s="26"/>
      <c r="JA3" s="26"/>
      <c r="JB3" s="26"/>
      <c r="JC3" s="26"/>
      <c r="JD3" s="26"/>
      <c r="JE3" s="26"/>
      <c r="JF3" s="26"/>
      <c r="JG3" s="26"/>
      <c r="JH3" s="26"/>
      <c r="JI3" s="26"/>
    </row>
    <row r="4" spans="1:269">
      <c r="A4" s="29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c r="JA4" s="26"/>
      <c r="JB4" s="26"/>
      <c r="JC4" s="26"/>
      <c r="JD4" s="26"/>
      <c r="JE4" s="26"/>
      <c r="JF4" s="26"/>
      <c r="JG4" s="26"/>
      <c r="JH4" s="26"/>
      <c r="JI4" s="26"/>
    </row>
    <row r="5" spans="1:269">
      <c r="A5" s="27"/>
      <c r="B5" s="27"/>
      <c r="C5" s="298" t="s">
        <v>82</v>
      </c>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row>
    <row r="6" spans="1:269" ht="14">
      <c r="A6" s="27"/>
      <c r="B6" s="27"/>
      <c r="C6" s="28" t="s">
        <v>83</v>
      </c>
      <c r="D6" s="55"/>
      <c r="E6" s="28" t="s">
        <v>84</v>
      </c>
      <c r="F6" s="55"/>
      <c r="G6" s="28" t="s">
        <v>85</v>
      </c>
      <c r="H6" s="55"/>
      <c r="I6" s="28" t="s">
        <v>118</v>
      </c>
      <c r="J6" s="55"/>
      <c r="K6" s="28" t="s">
        <v>86</v>
      </c>
      <c r="L6" s="55"/>
      <c r="M6" s="28" t="s">
        <v>87</v>
      </c>
      <c r="N6" s="55"/>
      <c r="O6" s="28" t="s">
        <v>88</v>
      </c>
      <c r="P6" s="55"/>
      <c r="Q6" s="28" t="s">
        <v>89</v>
      </c>
      <c r="R6" s="55"/>
      <c r="S6" s="28" t="s">
        <v>90</v>
      </c>
      <c r="T6" s="55"/>
      <c r="U6" s="299"/>
      <c r="V6" s="299"/>
      <c r="W6" s="299"/>
      <c r="X6" s="179"/>
      <c r="Y6" s="299"/>
      <c r="Z6" s="299"/>
      <c r="AA6" s="179"/>
      <c r="AB6" s="29"/>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row>
    <row r="7" spans="1:269" ht="14">
      <c r="A7" s="27"/>
      <c r="B7" s="27"/>
      <c r="C7" s="30"/>
      <c r="D7" s="30"/>
      <c r="E7" s="30"/>
      <c r="F7" s="30"/>
      <c r="G7" s="30"/>
      <c r="H7" s="30"/>
      <c r="I7" s="30"/>
      <c r="J7" s="30"/>
      <c r="K7" s="30"/>
      <c r="L7" s="30"/>
      <c r="M7" s="30"/>
      <c r="N7" s="30"/>
      <c r="O7" s="30"/>
      <c r="P7" s="30"/>
      <c r="Q7" s="30"/>
      <c r="R7" s="30"/>
      <c r="S7" s="30"/>
      <c r="T7" s="30"/>
      <c r="U7" s="292"/>
      <c r="V7" s="292"/>
      <c r="W7" s="293"/>
      <c r="X7" s="178"/>
      <c r="Y7" s="57"/>
      <c r="Z7" s="57"/>
      <c r="AA7" s="58"/>
      <c r="AB7" s="31"/>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row>
    <row r="8" spans="1:269">
      <c r="A8" s="32"/>
      <c r="B8" s="32" t="s">
        <v>202</v>
      </c>
      <c r="C8" s="33" t="s">
        <v>91</v>
      </c>
      <c r="D8" s="33" t="s">
        <v>203</v>
      </c>
      <c r="E8" s="33" t="s">
        <v>92</v>
      </c>
      <c r="F8" s="33" t="s">
        <v>204</v>
      </c>
      <c r="G8" s="33" t="s">
        <v>93</v>
      </c>
      <c r="H8" s="33" t="s">
        <v>205</v>
      </c>
      <c r="I8" s="33" t="s">
        <v>116</v>
      </c>
      <c r="J8" s="33">
        <v>5310</v>
      </c>
      <c r="K8" s="33" t="s">
        <v>94</v>
      </c>
      <c r="L8" s="33">
        <v>5311</v>
      </c>
      <c r="M8" s="33" t="s">
        <v>95</v>
      </c>
      <c r="N8" s="33" t="s">
        <v>207</v>
      </c>
      <c r="O8" s="33"/>
      <c r="P8" s="33" t="s">
        <v>208</v>
      </c>
      <c r="Q8" s="33" t="s">
        <v>96</v>
      </c>
      <c r="R8" s="33" t="s">
        <v>209</v>
      </c>
      <c r="S8" s="33" t="s">
        <v>97</v>
      </c>
      <c r="T8" s="33" t="s">
        <v>210</v>
      </c>
      <c r="U8" s="33" t="s">
        <v>131</v>
      </c>
      <c r="V8" s="33" t="s">
        <v>211</v>
      </c>
      <c r="W8" s="47" t="s">
        <v>129</v>
      </c>
      <c r="X8" s="33">
        <v>5339</v>
      </c>
      <c r="Y8" s="33" t="s">
        <v>98</v>
      </c>
      <c r="Z8" s="33" t="s">
        <v>135</v>
      </c>
      <c r="AA8" s="47"/>
      <c r="AB8" s="33"/>
    </row>
    <row r="9" spans="1:269" ht="12" thickBot="1">
      <c r="A9" s="35" t="s">
        <v>35</v>
      </c>
      <c r="B9" s="35" t="s">
        <v>170</v>
      </c>
      <c r="C9" s="35" t="s">
        <v>99</v>
      </c>
      <c r="D9" s="35" t="s">
        <v>170</v>
      </c>
      <c r="E9" s="35" t="s">
        <v>99</v>
      </c>
      <c r="F9" s="35" t="s">
        <v>170</v>
      </c>
      <c r="G9" s="35" t="s">
        <v>100</v>
      </c>
      <c r="H9" s="35" t="s">
        <v>206</v>
      </c>
      <c r="I9" s="35" t="s">
        <v>117</v>
      </c>
      <c r="J9" s="35" t="s">
        <v>170</v>
      </c>
      <c r="K9" s="35" t="s">
        <v>101</v>
      </c>
      <c r="L9" s="35" t="s">
        <v>170</v>
      </c>
      <c r="M9" s="35" t="s">
        <v>100</v>
      </c>
      <c r="N9" s="35" t="s">
        <v>170</v>
      </c>
      <c r="O9" s="35" t="s">
        <v>102</v>
      </c>
      <c r="P9" s="35" t="s">
        <v>170</v>
      </c>
      <c r="Q9" s="35" t="s">
        <v>103</v>
      </c>
      <c r="R9" s="35" t="s">
        <v>170</v>
      </c>
      <c r="S9" s="35" t="s">
        <v>100</v>
      </c>
      <c r="T9" s="35" t="s">
        <v>170</v>
      </c>
      <c r="U9" s="49" t="s">
        <v>132</v>
      </c>
      <c r="V9" s="49" t="s">
        <v>170</v>
      </c>
      <c r="W9" s="50" t="s">
        <v>130</v>
      </c>
      <c r="X9" s="180" t="s">
        <v>170</v>
      </c>
      <c r="Y9" s="59" t="s">
        <v>104</v>
      </c>
      <c r="Z9" s="59" t="s">
        <v>136</v>
      </c>
      <c r="AA9" s="60" t="s">
        <v>134</v>
      </c>
      <c r="AB9" s="36" t="s">
        <v>105</v>
      </c>
    </row>
    <row r="10" spans="1:269" ht="14">
      <c r="A10" s="37" t="s">
        <v>119</v>
      </c>
      <c r="B10" s="181">
        <v>7.9711663341292937E-3</v>
      </c>
      <c r="C10" s="73">
        <f>B10*C$67</f>
        <v>875201.05668988114</v>
      </c>
      <c r="D10" s="181">
        <v>9.96271570851044E-3</v>
      </c>
      <c r="E10" s="73">
        <f>D10*E$67</f>
        <v>228505.63364730371</v>
      </c>
      <c r="F10" s="101">
        <v>4.8318674442451729E-3</v>
      </c>
      <c r="G10" s="73">
        <f>F10*G$67</f>
        <v>24191883.160296015</v>
      </c>
      <c r="H10" s="181">
        <v>0</v>
      </c>
      <c r="I10" s="73">
        <f>H10*I$67</f>
        <v>0</v>
      </c>
      <c r="J10" s="181">
        <v>1.6315215757817386E-2</v>
      </c>
      <c r="K10" s="73">
        <f>J10*K$67</f>
        <v>4353998.3296850175</v>
      </c>
      <c r="L10" s="181">
        <v>2.4865538558265274E-2</v>
      </c>
      <c r="M10" s="73">
        <f>L10*M$67</f>
        <v>15940230.317967881</v>
      </c>
      <c r="N10" s="181">
        <v>2.4918263900083122E-2</v>
      </c>
      <c r="O10" s="73">
        <f>N10*O$67</f>
        <v>267872.25989838847</v>
      </c>
      <c r="P10" s="181">
        <v>0.25</v>
      </c>
      <c r="Q10" s="73">
        <f>P10*Q$67</f>
        <v>5000000</v>
      </c>
      <c r="R10" s="181">
        <v>7.4399999999999999E-6</v>
      </c>
      <c r="S10" s="73">
        <f>R10*S$67</f>
        <v>223.2</v>
      </c>
      <c r="T10" s="181">
        <v>0</v>
      </c>
      <c r="U10" s="73">
        <f>T10*U$67</f>
        <v>0</v>
      </c>
      <c r="V10" s="181">
        <v>0</v>
      </c>
      <c r="W10" s="73">
        <f>V10*W$67</f>
        <v>0</v>
      </c>
      <c r="X10" s="181">
        <v>6.6822055093737117E-3</v>
      </c>
      <c r="Y10" s="73">
        <f>X10*Y$67</f>
        <v>2274999.1640271544</v>
      </c>
      <c r="Z10" s="73">
        <v>1750000</v>
      </c>
      <c r="AA10" s="73">
        <f>SUM(Y10+Z10)</f>
        <v>4024999.1640271544</v>
      </c>
      <c r="AB10" s="74">
        <f>SUM(C10+E10+G10+I10+K10+M10+O10+Q10+S10+U10+W10+AA10)</f>
        <v>54882913.122211643</v>
      </c>
    </row>
    <row r="11" spans="1:269" ht="14">
      <c r="A11" s="37" t="s">
        <v>36</v>
      </c>
      <c r="B11" s="181">
        <v>4.0000007882070787E-3</v>
      </c>
      <c r="C11" s="73">
        <f t="shared" ref="C11:E26" si="0">B11*C$67</f>
        <v>439183.52344627021</v>
      </c>
      <c r="D11" s="181">
        <v>4.9997117070213551E-3</v>
      </c>
      <c r="E11" s="73">
        <f t="shared" si="0"/>
        <v>114673.78223899663</v>
      </c>
      <c r="F11" s="101">
        <v>3.3812457372304071E-3</v>
      </c>
      <c r="G11" s="73">
        <f t="shared" ref="G11:G66" si="1">F11*G$67</f>
        <v>16929003.693747945</v>
      </c>
      <c r="H11" s="181">
        <v>0</v>
      </c>
      <c r="I11" s="73">
        <f t="shared" ref="I11:I66" si="2">H11*I$67</f>
        <v>0</v>
      </c>
      <c r="J11" s="181">
        <v>1.491093776850769E-3</v>
      </c>
      <c r="K11" s="73">
        <f t="shared" ref="K11:K66" si="3">J11*K$67</f>
        <v>397924.23895474657</v>
      </c>
      <c r="L11" s="181">
        <v>1.3105234556647527E-2</v>
      </c>
      <c r="M11" s="73">
        <f t="shared" ref="M11:M66" si="4">L11*M$67</f>
        <v>8401203.8072071038</v>
      </c>
      <c r="N11" s="181">
        <v>9.1444190186806655E-3</v>
      </c>
      <c r="O11" s="73">
        <f t="shared" ref="O11:O66" si="5">N11*O$67</f>
        <v>98302.843160097618</v>
      </c>
      <c r="P11" s="181">
        <v>0</v>
      </c>
      <c r="Q11" s="73">
        <f t="shared" ref="Q11:Q66" si="6">P11*Q$67</f>
        <v>0</v>
      </c>
      <c r="R11" s="181">
        <v>1.486264E-2</v>
      </c>
      <c r="S11" s="73">
        <f t="shared" ref="S11:S66" si="7">R11*S$67</f>
        <v>445879.2</v>
      </c>
      <c r="T11" s="181">
        <v>9.5512672463014606E-3</v>
      </c>
      <c r="U11" s="73">
        <f t="shared" ref="U11:U66" si="8">T11*U$67</f>
        <v>23415005.24682216</v>
      </c>
      <c r="V11" s="181">
        <v>0</v>
      </c>
      <c r="W11" s="73">
        <f t="shared" ref="W11:W66" si="9">V11*W$67</f>
        <v>0</v>
      </c>
      <c r="X11" s="181">
        <v>1.7484020858619534E-3</v>
      </c>
      <c r="Y11" s="73">
        <f t="shared" ref="Y11:Y66" si="10">X11*Y$67</f>
        <v>595254.5575169056</v>
      </c>
      <c r="Z11" s="73">
        <v>1750000</v>
      </c>
      <c r="AA11" s="73">
        <f t="shared" ref="AA11:AA67" si="11">SUM(Y11+Z11)</f>
        <v>2345254.5575169055</v>
      </c>
      <c r="AB11" s="74">
        <f t="shared" ref="AB11:AB66" si="12">SUM(C11+E11+G11+I11+K11+M11+O11+Q11+S11+U11+W11+AA11)</f>
        <v>52586430.893094219</v>
      </c>
    </row>
    <row r="12" spans="1:269" ht="14">
      <c r="A12" s="37" t="s">
        <v>37</v>
      </c>
      <c r="B12" s="181">
        <v>0</v>
      </c>
      <c r="C12" s="73">
        <f t="shared" si="0"/>
        <v>0</v>
      </c>
      <c r="D12" s="181">
        <v>0</v>
      </c>
      <c r="E12" s="73">
        <f t="shared" si="0"/>
        <v>0</v>
      </c>
      <c r="F12" s="101"/>
      <c r="G12" s="73">
        <f t="shared" si="1"/>
        <v>0</v>
      </c>
      <c r="H12" s="181">
        <v>0</v>
      </c>
      <c r="I12" s="73">
        <f t="shared" si="2"/>
        <v>0</v>
      </c>
      <c r="J12" s="181">
        <v>4.6351986780385408E-5</v>
      </c>
      <c r="K12" s="73">
        <f t="shared" si="3"/>
        <v>12369.831696689658</v>
      </c>
      <c r="L12" s="181">
        <v>4.8549207305702193E-4</v>
      </c>
      <c r="M12" s="73">
        <f t="shared" si="4"/>
        <v>311228.14589126332</v>
      </c>
      <c r="N12" s="181">
        <v>1.3672066184407269E-3</v>
      </c>
      <c r="O12" s="73">
        <f t="shared" si="5"/>
        <v>14697.521789570963</v>
      </c>
      <c r="P12" s="181">
        <v>0</v>
      </c>
      <c r="Q12" s="73">
        <f t="shared" si="6"/>
        <v>0</v>
      </c>
      <c r="R12" s="181">
        <v>0</v>
      </c>
      <c r="S12" s="73">
        <f t="shared" si="7"/>
        <v>0</v>
      </c>
      <c r="T12" s="181">
        <v>0</v>
      </c>
      <c r="U12" s="73">
        <f t="shared" si="8"/>
        <v>0</v>
      </c>
      <c r="V12" s="181">
        <v>0</v>
      </c>
      <c r="W12" s="73">
        <f t="shared" si="9"/>
        <v>0</v>
      </c>
      <c r="X12" s="181">
        <v>0</v>
      </c>
      <c r="Y12" s="73">
        <f t="shared" si="10"/>
        <v>0</v>
      </c>
      <c r="Z12" s="73">
        <v>500000</v>
      </c>
      <c r="AA12" s="73">
        <f t="shared" si="11"/>
        <v>500000</v>
      </c>
      <c r="AB12" s="74">
        <f t="shared" si="12"/>
        <v>838295.49937752401</v>
      </c>
    </row>
    <row r="13" spans="1:269" ht="14">
      <c r="A13" s="37" t="s">
        <v>38</v>
      </c>
      <c r="B13" s="181">
        <v>2.2963024483429021E-2</v>
      </c>
      <c r="C13" s="73">
        <f t="shared" si="0"/>
        <v>2521245.0035880418</v>
      </c>
      <c r="D13" s="181">
        <v>2.192702708919549E-2</v>
      </c>
      <c r="E13" s="73">
        <f t="shared" si="0"/>
        <v>502920.02357732016</v>
      </c>
      <c r="F13" s="101">
        <v>1.5364072406264518E-2</v>
      </c>
      <c r="G13" s="73">
        <f t="shared" si="1"/>
        <v>76923849.589740455</v>
      </c>
      <c r="H13" s="181">
        <v>1.9249055207293687E-2</v>
      </c>
      <c r="I13" s="73">
        <f t="shared" si="2"/>
        <v>445585.19663999998</v>
      </c>
      <c r="J13" s="181">
        <v>2.1649520004863424E-2</v>
      </c>
      <c r="K13" s="73">
        <f t="shared" si="3"/>
        <v>5777549.94717078</v>
      </c>
      <c r="L13" s="181">
        <v>1.8772658238577274E-2</v>
      </c>
      <c r="M13" s="73">
        <f t="shared" si="4"/>
        <v>12034346.061004652</v>
      </c>
      <c r="N13" s="181">
        <v>1.5881058300075662E-2</v>
      </c>
      <c r="O13" s="73">
        <f t="shared" si="5"/>
        <v>170721.96496021282</v>
      </c>
      <c r="P13" s="181">
        <v>0</v>
      </c>
      <c r="Q13" s="73">
        <f t="shared" si="6"/>
        <v>0</v>
      </c>
      <c r="R13" s="181">
        <v>6.1556680000000003E-2</v>
      </c>
      <c r="S13" s="73">
        <f t="shared" si="7"/>
        <v>1846700.4000000001</v>
      </c>
      <c r="T13" s="181">
        <v>1.6379387401513619E-4</v>
      </c>
      <c r="U13" s="73">
        <f t="shared" si="8"/>
        <v>401541.94417990558</v>
      </c>
      <c r="V13" s="181">
        <v>3.5917393987930465E-2</v>
      </c>
      <c r="W13" s="73">
        <f t="shared" si="9"/>
        <v>2609958.8049823893</v>
      </c>
      <c r="X13" s="181">
        <v>2.097246110336427E-2</v>
      </c>
      <c r="Y13" s="73">
        <f t="shared" si="10"/>
        <v>7140207.1383191496</v>
      </c>
      <c r="Z13" s="73">
        <v>1750000</v>
      </c>
      <c r="AA13" s="73">
        <f t="shared" si="11"/>
        <v>8890207.1383191496</v>
      </c>
      <c r="AB13" s="74">
        <f t="shared" si="12"/>
        <v>112124626.07416293</v>
      </c>
    </row>
    <row r="14" spans="1:269" ht="14">
      <c r="A14" s="37" t="s">
        <v>39</v>
      </c>
      <c r="B14" s="181">
        <v>4.0120678632407049E-3</v>
      </c>
      <c r="C14" s="73">
        <f t="shared" si="0"/>
        <v>440508.438317933</v>
      </c>
      <c r="D14" s="181">
        <v>5.0578940750053217E-3</v>
      </c>
      <c r="E14" s="73">
        <f t="shared" si="0"/>
        <v>116008.25762224177</v>
      </c>
      <c r="F14" s="101">
        <v>2.6002804048181373E-3</v>
      </c>
      <c r="G14" s="73">
        <f t="shared" si="1"/>
        <v>13018916.694887651</v>
      </c>
      <c r="H14" s="181">
        <v>1.0108082042770793E-2</v>
      </c>
      <c r="I14" s="73">
        <f t="shared" si="2"/>
        <v>233986.11911999999</v>
      </c>
      <c r="J14" s="181">
        <v>9.6485773668725031E-3</v>
      </c>
      <c r="K14" s="73">
        <f t="shared" si="3"/>
        <v>2574890.2351518478</v>
      </c>
      <c r="L14" s="181">
        <v>1.9342063440129797E-2</v>
      </c>
      <c r="M14" s="73">
        <f t="shared" si="4"/>
        <v>12399367.314645633</v>
      </c>
      <c r="N14" s="181">
        <v>1.962438937577201E-2</v>
      </c>
      <c r="O14" s="73">
        <f t="shared" si="5"/>
        <v>210962.91267693159</v>
      </c>
      <c r="P14" s="181">
        <v>0</v>
      </c>
      <c r="Q14" s="73">
        <f t="shared" si="6"/>
        <v>0</v>
      </c>
      <c r="R14" s="181">
        <v>0</v>
      </c>
      <c r="S14" s="73">
        <f t="shared" si="7"/>
        <v>0</v>
      </c>
      <c r="T14" s="181">
        <v>1.3194527133410033E-4</v>
      </c>
      <c r="U14" s="73">
        <f t="shared" si="8"/>
        <v>323464.84931386251</v>
      </c>
      <c r="V14" s="181">
        <v>0</v>
      </c>
      <c r="W14" s="73">
        <f t="shared" si="9"/>
        <v>0</v>
      </c>
      <c r="X14" s="181">
        <v>3.5652069485110883E-3</v>
      </c>
      <c r="Y14" s="73">
        <f t="shared" si="10"/>
        <v>1213797.2733805841</v>
      </c>
      <c r="Z14" s="73">
        <v>1750000</v>
      </c>
      <c r="AA14" s="73">
        <f t="shared" si="11"/>
        <v>2963797.2733805841</v>
      </c>
      <c r="AB14" s="74">
        <f t="shared" si="12"/>
        <v>32281902.095116682</v>
      </c>
    </row>
    <row r="15" spans="1:269" ht="14">
      <c r="A15" s="37" t="s">
        <v>120</v>
      </c>
      <c r="B15" s="181">
        <v>0.14999529093187744</v>
      </c>
      <c r="C15" s="73">
        <f t="shared" si="0"/>
        <v>16468861.847734209</v>
      </c>
      <c r="D15" s="181">
        <v>0.14322024173748177</v>
      </c>
      <c r="E15" s="73">
        <f t="shared" si="0"/>
        <v>3284910.7659859499</v>
      </c>
      <c r="F15" s="101">
        <v>0.16048180165591769</v>
      </c>
      <c r="G15" s="73">
        <f t="shared" si="1"/>
        <v>803489963.21033323</v>
      </c>
      <c r="H15" s="181">
        <v>0.12745203144449554</v>
      </c>
      <c r="I15" s="73">
        <f t="shared" si="2"/>
        <v>2950313.0352000003</v>
      </c>
      <c r="J15" s="181">
        <v>0.11037559666627997</v>
      </c>
      <c r="K15" s="73">
        <f t="shared" si="3"/>
        <v>29455642.552119117</v>
      </c>
      <c r="L15" s="181">
        <v>4.4515647849891996E-2</v>
      </c>
      <c r="M15" s="73">
        <f t="shared" si="4"/>
        <v>28537072.616308298</v>
      </c>
      <c r="N15" s="181">
        <v>3.5422917838626472E-2</v>
      </c>
      <c r="O15" s="73">
        <f t="shared" si="5"/>
        <v>380797.67883011134</v>
      </c>
      <c r="P15" s="181">
        <v>0</v>
      </c>
      <c r="Q15" s="73">
        <f t="shared" si="6"/>
        <v>0</v>
      </c>
      <c r="R15" s="181">
        <v>2.1273799999999999E-2</v>
      </c>
      <c r="S15" s="73">
        <f t="shared" si="7"/>
        <v>638214</v>
      </c>
      <c r="T15" s="181">
        <v>0.15402670095211823</v>
      </c>
      <c r="U15" s="73">
        <f t="shared" si="8"/>
        <v>377597644.15984863</v>
      </c>
      <c r="V15" s="181">
        <v>0.23946784383828837</v>
      </c>
      <c r="W15" s="73">
        <f t="shared" si="9"/>
        <v>17401073.355876304</v>
      </c>
      <c r="X15" s="181">
        <v>0.18084132050311938</v>
      </c>
      <c r="Y15" s="73">
        <f t="shared" si="10"/>
        <v>61568572.290845774</v>
      </c>
      <c r="Z15" s="73">
        <v>1750000</v>
      </c>
      <c r="AA15" s="73">
        <f t="shared" si="11"/>
        <v>63318572.290845774</v>
      </c>
      <c r="AB15" s="74">
        <f t="shared" si="12"/>
        <v>1343523065.5130818</v>
      </c>
    </row>
    <row r="16" spans="1:269" ht="14">
      <c r="A16" s="37" t="s">
        <v>40</v>
      </c>
      <c r="B16" s="181">
        <v>1.6796176752772441E-2</v>
      </c>
      <c r="C16" s="73">
        <f t="shared" si="0"/>
        <v>1844150.6582840828</v>
      </c>
      <c r="D16" s="181">
        <v>1.6561547757488731E-2</v>
      </c>
      <c r="E16" s="73">
        <f t="shared" si="0"/>
        <v>379856.96623585216</v>
      </c>
      <c r="F16" s="101">
        <v>1.5152228976622344E-2</v>
      </c>
      <c r="G16" s="73">
        <f t="shared" si="1"/>
        <v>75863205.530830339</v>
      </c>
      <c r="H16" s="181">
        <v>2.3645767216534153E-2</v>
      </c>
      <c r="I16" s="73">
        <f t="shared" si="2"/>
        <v>547362.12875999999</v>
      </c>
      <c r="J16" s="181">
        <v>1.445304974089418E-2</v>
      </c>
      <c r="K16" s="73">
        <f t="shared" si="3"/>
        <v>3857047.0268256008</v>
      </c>
      <c r="L16" s="181">
        <v>1.7796227792132299E-2</v>
      </c>
      <c r="M16" s="73">
        <f t="shared" si="4"/>
        <v>11408398.37966495</v>
      </c>
      <c r="N16" s="181">
        <v>1.5034844832129506E-2</v>
      </c>
      <c r="O16" s="73">
        <f t="shared" si="5"/>
        <v>161625.13883604479</v>
      </c>
      <c r="P16" s="181">
        <v>0</v>
      </c>
      <c r="Q16" s="73">
        <f t="shared" si="6"/>
        <v>0</v>
      </c>
      <c r="R16" s="181">
        <v>6.0998399999999996E-3</v>
      </c>
      <c r="S16" s="73">
        <f t="shared" si="7"/>
        <v>182995.19999999998</v>
      </c>
      <c r="T16" s="181">
        <v>5.7583806875257772E-3</v>
      </c>
      <c r="U16" s="73">
        <f t="shared" si="8"/>
        <v>14116714.623792637</v>
      </c>
      <c r="V16" s="181">
        <v>5.8797861897210112E-3</v>
      </c>
      <c r="W16" s="73">
        <f t="shared" si="9"/>
        <v>427258.1619488601</v>
      </c>
      <c r="X16" s="181">
        <v>1.8746202980253302E-2</v>
      </c>
      <c r="Y16" s="73">
        <f t="shared" si="10"/>
        <v>6382263.4680921016</v>
      </c>
      <c r="Z16" s="73">
        <v>1750000</v>
      </c>
      <c r="AA16" s="73">
        <f t="shared" si="11"/>
        <v>8132263.4680921016</v>
      </c>
      <c r="AB16" s="74">
        <f t="shared" si="12"/>
        <v>116920877.28327045</v>
      </c>
    </row>
    <row r="17" spans="1:28" ht="14">
      <c r="A17" s="37" t="s">
        <v>121</v>
      </c>
      <c r="B17" s="181">
        <v>1.039382400719055E-2</v>
      </c>
      <c r="C17" s="73">
        <f t="shared" si="0"/>
        <v>1141198.8375143439</v>
      </c>
      <c r="D17" s="181">
        <v>1.299046852344804E-2</v>
      </c>
      <c r="E17" s="73">
        <f t="shared" si="0"/>
        <v>297950.41113038675</v>
      </c>
      <c r="F17" s="101">
        <v>1.9280397704479046E-2</v>
      </c>
      <c r="G17" s="73">
        <f t="shared" si="1"/>
        <v>96531855.216003641</v>
      </c>
      <c r="H17" s="181">
        <v>0</v>
      </c>
      <c r="I17" s="73">
        <f t="shared" si="2"/>
        <v>0</v>
      </c>
      <c r="J17" s="181">
        <v>1.2257063193736872E-2</v>
      </c>
      <c r="K17" s="73">
        <f t="shared" si="3"/>
        <v>3271009.9250022667</v>
      </c>
      <c r="L17" s="181">
        <v>4.7533734259735221E-3</v>
      </c>
      <c r="M17" s="73">
        <f t="shared" si="4"/>
        <v>3047183.8371721162</v>
      </c>
      <c r="N17" s="181">
        <v>1.0274964734039592E-2</v>
      </c>
      <c r="O17" s="73">
        <f t="shared" si="5"/>
        <v>110456.25147561937</v>
      </c>
      <c r="P17" s="181">
        <v>0</v>
      </c>
      <c r="Q17" s="73">
        <f t="shared" si="6"/>
        <v>0</v>
      </c>
      <c r="R17" s="181">
        <v>0</v>
      </c>
      <c r="S17" s="73">
        <f t="shared" si="7"/>
        <v>0</v>
      </c>
      <c r="T17" s="181">
        <v>2.3813321659182454E-2</v>
      </c>
      <c r="U17" s="73">
        <f t="shared" si="8"/>
        <v>58378541.529129155</v>
      </c>
      <c r="V17" s="181">
        <v>1.362787675756468E-2</v>
      </c>
      <c r="W17" s="73">
        <f t="shared" si="9"/>
        <v>990277.77317510801</v>
      </c>
      <c r="X17" s="181">
        <v>1.1558472351141071E-2</v>
      </c>
      <c r="Y17" s="73">
        <f t="shared" si="10"/>
        <v>3935155.0770759606</v>
      </c>
      <c r="Z17" s="73">
        <v>1750000</v>
      </c>
      <c r="AA17" s="73">
        <f t="shared" si="11"/>
        <v>5685155.0770759601</v>
      </c>
      <c r="AB17" s="74">
        <f t="shared" si="12"/>
        <v>169453628.85767859</v>
      </c>
    </row>
    <row r="18" spans="1:28" ht="14">
      <c r="A18" s="37" t="s">
        <v>41</v>
      </c>
      <c r="B18" s="181">
        <v>4.0000007882070787E-3</v>
      </c>
      <c r="C18" s="73">
        <f t="shared" si="0"/>
        <v>439183.52344627021</v>
      </c>
      <c r="D18" s="181">
        <v>4.9997117070213551E-3</v>
      </c>
      <c r="E18" s="73">
        <f t="shared" si="0"/>
        <v>114673.78223899663</v>
      </c>
      <c r="F18" s="101">
        <v>3.9642693901350825E-3</v>
      </c>
      <c r="G18" s="73">
        <f t="shared" si="1"/>
        <v>19848049.022186641</v>
      </c>
      <c r="H18" s="181">
        <v>0</v>
      </c>
      <c r="I18" s="73">
        <f t="shared" si="2"/>
        <v>0</v>
      </c>
      <c r="J18" s="181">
        <v>3.1563201683592404E-3</v>
      </c>
      <c r="K18" s="73">
        <f t="shared" si="3"/>
        <v>842318.78664568288</v>
      </c>
      <c r="L18" s="181">
        <v>2.7130402279169313E-3</v>
      </c>
      <c r="M18" s="73">
        <f t="shared" si="4"/>
        <v>1739213.7312277469</v>
      </c>
      <c r="N18" s="181">
        <v>8.2751235757125997E-3</v>
      </c>
      <c r="O18" s="73">
        <f t="shared" si="5"/>
        <v>88957.884949487692</v>
      </c>
      <c r="P18" s="181">
        <v>0</v>
      </c>
      <c r="Q18" s="73">
        <f t="shared" si="6"/>
        <v>0</v>
      </c>
      <c r="R18" s="181">
        <v>0</v>
      </c>
      <c r="S18" s="73">
        <f t="shared" si="7"/>
        <v>0</v>
      </c>
      <c r="T18" s="181">
        <v>0</v>
      </c>
      <c r="U18" s="73">
        <f t="shared" si="8"/>
        <v>0</v>
      </c>
      <c r="V18" s="181">
        <v>0</v>
      </c>
      <c r="W18" s="73">
        <f t="shared" si="9"/>
        <v>0</v>
      </c>
      <c r="X18" s="181">
        <v>2.5808784629573153E-3</v>
      </c>
      <c r="Y18" s="73">
        <f t="shared" si="10"/>
        <v>878676.40967448847</v>
      </c>
      <c r="Z18" s="73">
        <v>1750000</v>
      </c>
      <c r="AA18" s="73">
        <f t="shared" si="11"/>
        <v>2628676.4096744885</v>
      </c>
      <c r="AB18" s="74">
        <f t="shared" si="12"/>
        <v>25701073.140369315</v>
      </c>
    </row>
    <row r="19" spans="1:28" ht="14">
      <c r="A19" s="37" t="s">
        <v>42</v>
      </c>
      <c r="B19" s="181">
        <v>4.0000007882070787E-3</v>
      </c>
      <c r="C19" s="73">
        <f t="shared" si="0"/>
        <v>439183.52344627021</v>
      </c>
      <c r="D19" s="181">
        <v>4.9997117070213551E-3</v>
      </c>
      <c r="E19" s="73">
        <f t="shared" si="0"/>
        <v>114673.78223899663</v>
      </c>
      <c r="F19" s="101">
        <v>4.2371920096423068E-3</v>
      </c>
      <c r="G19" s="73">
        <f t="shared" si="1"/>
        <v>21214500.440630328</v>
      </c>
      <c r="H19" s="181">
        <v>8.0222758009711459E-2</v>
      </c>
      <c r="I19" s="73">
        <f t="shared" si="2"/>
        <v>1857030.0213599999</v>
      </c>
      <c r="J19" s="181">
        <v>1.4430250498192582E-3</v>
      </c>
      <c r="K19" s="73">
        <f t="shared" si="3"/>
        <v>385096.26534336474</v>
      </c>
      <c r="L19" s="181">
        <v>0</v>
      </c>
      <c r="M19" s="73">
        <f t="shared" si="4"/>
        <v>0</v>
      </c>
      <c r="N19" s="181">
        <v>0</v>
      </c>
      <c r="O19" s="73">
        <f t="shared" si="5"/>
        <v>0</v>
      </c>
      <c r="P19" s="181">
        <v>0</v>
      </c>
      <c r="Q19" s="73">
        <f t="shared" si="6"/>
        <v>0</v>
      </c>
      <c r="R19" s="181">
        <v>0</v>
      </c>
      <c r="S19" s="73">
        <f t="shared" si="7"/>
        <v>0</v>
      </c>
      <c r="T19" s="181">
        <v>7.0144262173573099E-2</v>
      </c>
      <c r="U19" s="73">
        <f t="shared" si="8"/>
        <v>171959199.18005446</v>
      </c>
      <c r="V19" s="181">
        <v>7.6613582501631514E-2</v>
      </c>
      <c r="W19" s="73">
        <f t="shared" si="9"/>
        <v>5567171.5575626409</v>
      </c>
      <c r="X19" s="181">
        <v>3.5290319967315499E-3</v>
      </c>
      <c r="Y19" s="73">
        <f t="shared" si="10"/>
        <v>1201481.2820597955</v>
      </c>
      <c r="Z19" s="73">
        <v>500000</v>
      </c>
      <c r="AA19" s="73">
        <f t="shared" si="11"/>
        <v>1701481.2820597955</v>
      </c>
      <c r="AB19" s="74">
        <f t="shared" si="12"/>
        <v>203238336.05269584</v>
      </c>
    </row>
    <row r="20" spans="1:28" ht="14">
      <c r="A20" s="37" t="s">
        <v>43</v>
      </c>
      <c r="B20" s="181">
        <v>7.2065200789794753E-2</v>
      </c>
      <c r="C20" s="73">
        <f t="shared" si="0"/>
        <v>7912460.6410168773</v>
      </c>
      <c r="D20" s="181">
        <v>7.0436587307749945E-2</v>
      </c>
      <c r="E20" s="73">
        <f t="shared" si="0"/>
        <v>1615539.1246346699</v>
      </c>
      <c r="F20" s="101">
        <v>5.2013527546172604E-2</v>
      </c>
      <c r="G20" s="73">
        <f t="shared" si="1"/>
        <v>260417984.48972487</v>
      </c>
      <c r="H20" s="181">
        <v>3.4103686093324211E-2</v>
      </c>
      <c r="I20" s="73">
        <f t="shared" si="2"/>
        <v>789446.41752000002</v>
      </c>
      <c r="J20" s="181">
        <v>7.977270529972319E-2</v>
      </c>
      <c r="K20" s="73">
        <f t="shared" si="3"/>
        <v>21288730.151363626</v>
      </c>
      <c r="L20" s="181">
        <v>2.5299106431908309E-2</v>
      </c>
      <c r="M20" s="73">
        <f t="shared" si="4"/>
        <v>16218172.086578572</v>
      </c>
      <c r="N20" s="181">
        <v>2.4205737462978161E-2</v>
      </c>
      <c r="O20" s="73">
        <f t="shared" si="5"/>
        <v>260212.57430753089</v>
      </c>
      <c r="P20" s="181">
        <v>0</v>
      </c>
      <c r="Q20" s="73">
        <f t="shared" si="6"/>
        <v>0</v>
      </c>
      <c r="R20" s="181">
        <v>0</v>
      </c>
      <c r="S20" s="73">
        <f t="shared" si="7"/>
        <v>0</v>
      </c>
      <c r="T20" s="181">
        <v>1.7820583624599286E-2</v>
      </c>
      <c r="U20" s="73">
        <f t="shared" si="8"/>
        <v>43687298.063301973</v>
      </c>
      <c r="V20" s="181">
        <v>2.2265987413418009E-2</v>
      </c>
      <c r="W20" s="73">
        <f t="shared" si="9"/>
        <v>1617971.2236585303</v>
      </c>
      <c r="X20" s="181">
        <v>6.6763051089306191E-2</v>
      </c>
      <c r="Y20" s="73">
        <f t="shared" si="10"/>
        <v>22729903.353467688</v>
      </c>
      <c r="Z20" s="73">
        <v>1750000</v>
      </c>
      <c r="AA20" s="73">
        <f t="shared" si="11"/>
        <v>24479903.353467688</v>
      </c>
      <c r="AB20" s="74">
        <f t="shared" si="12"/>
        <v>378287718.12557423</v>
      </c>
    </row>
    <row r="21" spans="1:28" ht="14">
      <c r="A21" s="37" t="s">
        <v>44</v>
      </c>
      <c r="B21" s="181">
        <v>2.8456640151536945E-2</v>
      </c>
      <c r="C21" s="73">
        <f t="shared" si="0"/>
        <v>3124421.2561259125</v>
      </c>
      <c r="D21" s="181">
        <v>2.7139041150210857E-2</v>
      </c>
      <c r="E21" s="73">
        <f t="shared" si="0"/>
        <v>622463.18936028122</v>
      </c>
      <c r="F21" s="101">
        <v>1.8493496342675591E-2</v>
      </c>
      <c r="G21" s="73">
        <f t="shared" si="1"/>
        <v>92592048.086960837</v>
      </c>
      <c r="H21" s="181">
        <v>3.7886714588496517E-2</v>
      </c>
      <c r="I21" s="73">
        <f t="shared" si="2"/>
        <v>877017.54648000002</v>
      </c>
      <c r="J21" s="181">
        <v>2.6495205796995262E-2</v>
      </c>
      <c r="K21" s="73">
        <f t="shared" si="3"/>
        <v>7070705.2543576527</v>
      </c>
      <c r="L21" s="181">
        <v>3.4186157126159113E-2</v>
      </c>
      <c r="M21" s="73">
        <f t="shared" si="4"/>
        <v>21915279.132214066</v>
      </c>
      <c r="N21" s="181">
        <v>3.1801874124474779E-2</v>
      </c>
      <c r="O21" s="73">
        <f t="shared" si="5"/>
        <v>341871.3247795215</v>
      </c>
      <c r="P21" s="181">
        <v>2.9600000000000001E-2</v>
      </c>
      <c r="Q21" s="73">
        <f t="shared" si="6"/>
        <v>592000</v>
      </c>
      <c r="R21" s="181">
        <v>0</v>
      </c>
      <c r="S21" s="73">
        <f t="shared" si="7"/>
        <v>0</v>
      </c>
      <c r="T21" s="181">
        <v>1.9035360168962637E-2</v>
      </c>
      <c r="U21" s="73">
        <f t="shared" si="8"/>
        <v>46665332.121661998</v>
      </c>
      <c r="V21" s="181">
        <v>5.2261377037071927E-2</v>
      </c>
      <c r="W21" s="73">
        <f t="shared" si="9"/>
        <v>3797604.0579181677</v>
      </c>
      <c r="X21" s="181">
        <v>2.1245077642641601E-2</v>
      </c>
      <c r="Y21" s="73">
        <f t="shared" si="10"/>
        <v>7233021.1647788109</v>
      </c>
      <c r="Z21" s="73">
        <v>1750000</v>
      </c>
      <c r="AA21" s="73">
        <f t="shared" si="11"/>
        <v>8983021.16477881</v>
      </c>
      <c r="AB21" s="74">
        <f t="shared" si="12"/>
        <v>186581763.13463724</v>
      </c>
    </row>
    <row r="22" spans="1:28" ht="14">
      <c r="A22" s="37" t="s">
        <v>45</v>
      </c>
      <c r="B22" s="181">
        <v>0</v>
      </c>
      <c r="C22" s="73">
        <f t="shared" si="0"/>
        <v>0</v>
      </c>
      <c r="D22" s="181">
        <v>0</v>
      </c>
      <c r="E22" s="73">
        <f t="shared" si="0"/>
        <v>0</v>
      </c>
      <c r="F22" s="101"/>
      <c r="G22" s="73">
        <f t="shared" si="1"/>
        <v>0</v>
      </c>
      <c r="H22" s="181">
        <v>0</v>
      </c>
      <c r="I22" s="73">
        <f t="shared" si="2"/>
        <v>0</v>
      </c>
      <c r="J22" s="181">
        <v>1.7548814033110216E-4</v>
      </c>
      <c r="K22" s="73">
        <f t="shared" si="3"/>
        <v>46832.054275166083</v>
      </c>
      <c r="L22" s="181">
        <v>1.2723498709283419E-3</v>
      </c>
      <c r="M22" s="73">
        <f t="shared" si="4"/>
        <v>815648.93276332901</v>
      </c>
      <c r="N22" s="181">
        <v>2.1623571049098375E-3</v>
      </c>
      <c r="O22" s="73">
        <f t="shared" si="5"/>
        <v>23245.418971487921</v>
      </c>
      <c r="P22" s="181">
        <v>0</v>
      </c>
      <c r="Q22" s="73">
        <f t="shared" si="6"/>
        <v>0</v>
      </c>
      <c r="R22" s="181">
        <v>0</v>
      </c>
      <c r="S22" s="73">
        <f t="shared" si="7"/>
        <v>0</v>
      </c>
      <c r="T22" s="181">
        <v>0</v>
      </c>
      <c r="U22" s="73">
        <f t="shared" si="8"/>
        <v>0</v>
      </c>
      <c r="V22" s="181">
        <v>0</v>
      </c>
      <c r="W22" s="73">
        <f t="shared" si="9"/>
        <v>0</v>
      </c>
      <c r="X22" s="181">
        <v>0</v>
      </c>
      <c r="Y22" s="73">
        <f t="shared" si="10"/>
        <v>0</v>
      </c>
      <c r="Z22" s="73">
        <v>500000</v>
      </c>
      <c r="AA22" s="73">
        <f t="shared" si="11"/>
        <v>500000</v>
      </c>
      <c r="AB22" s="74">
        <f t="shared" si="12"/>
        <v>1385726.406009983</v>
      </c>
    </row>
    <row r="23" spans="1:28" ht="14">
      <c r="A23" s="37" t="s">
        <v>46</v>
      </c>
      <c r="B23" s="181">
        <v>4.0000007882070787E-3</v>
      </c>
      <c r="C23" s="73">
        <f t="shared" si="0"/>
        <v>439183.52344627021</v>
      </c>
      <c r="D23" s="181">
        <v>4.9997117070213551E-3</v>
      </c>
      <c r="E23" s="73">
        <f t="shared" si="0"/>
        <v>114673.78223899663</v>
      </c>
      <c r="F23" s="101">
        <v>6.3023670454852524E-3</v>
      </c>
      <c r="G23" s="73">
        <f t="shared" si="1"/>
        <v>31554285.989212867</v>
      </c>
      <c r="H23" s="181">
        <v>9.6743633162504339E-3</v>
      </c>
      <c r="I23" s="73">
        <f t="shared" si="2"/>
        <v>223946.21627999999</v>
      </c>
      <c r="J23" s="181">
        <v>4.395293938013062E-3</v>
      </c>
      <c r="K23" s="73">
        <f t="shared" si="3"/>
        <v>1172960.4283911521</v>
      </c>
      <c r="L23" s="181">
        <v>4.3360021509393429E-3</v>
      </c>
      <c r="M23" s="73">
        <f t="shared" si="4"/>
        <v>2779625.0132777798</v>
      </c>
      <c r="N23" s="181">
        <v>9.0965592500638053E-3</v>
      </c>
      <c r="O23" s="73">
        <f t="shared" si="5"/>
        <v>97788.348874740535</v>
      </c>
      <c r="P23" s="181">
        <v>0</v>
      </c>
      <c r="Q23" s="73">
        <f t="shared" si="6"/>
        <v>0</v>
      </c>
      <c r="R23" s="181">
        <v>0</v>
      </c>
      <c r="S23" s="73">
        <f t="shared" si="7"/>
        <v>0</v>
      </c>
      <c r="T23" s="181">
        <v>1.2385730543621905E-4</v>
      </c>
      <c r="U23" s="73">
        <f t="shared" si="8"/>
        <v>303637.13859742932</v>
      </c>
      <c r="V23" s="181">
        <v>1.4701659115240687E-2</v>
      </c>
      <c r="W23" s="73">
        <f t="shared" si="9"/>
        <v>1068304.8070961379</v>
      </c>
      <c r="X23" s="181">
        <v>1.0366159355429982E-2</v>
      </c>
      <c r="Y23" s="73">
        <f t="shared" si="10"/>
        <v>3529224.5703448574</v>
      </c>
      <c r="Z23" s="73">
        <v>1750000</v>
      </c>
      <c r="AA23" s="73">
        <f t="shared" si="11"/>
        <v>5279224.5703448579</v>
      </c>
      <c r="AB23" s="74">
        <f t="shared" si="12"/>
        <v>43033629.817760229</v>
      </c>
    </row>
    <row r="24" spans="1:28" ht="14">
      <c r="A24" s="37" t="s">
        <v>47</v>
      </c>
      <c r="B24" s="181">
        <v>4.0000007882070787E-3</v>
      </c>
      <c r="C24" s="73">
        <f t="shared" si="0"/>
        <v>439183.52344627021</v>
      </c>
      <c r="D24" s="181">
        <v>4.9997117070213551E-3</v>
      </c>
      <c r="E24" s="73">
        <f t="shared" si="0"/>
        <v>114673.78223899663</v>
      </c>
      <c r="F24" s="101">
        <v>2.1162902735732013E-3</v>
      </c>
      <c r="G24" s="73">
        <f t="shared" si="1"/>
        <v>10595706.033395067</v>
      </c>
      <c r="H24" s="181">
        <v>0</v>
      </c>
      <c r="I24" s="73">
        <f t="shared" si="2"/>
        <v>0</v>
      </c>
      <c r="J24" s="181">
        <v>5.2717985889886602E-3</v>
      </c>
      <c r="K24" s="73">
        <f t="shared" si="3"/>
        <v>1406870.8984062565</v>
      </c>
      <c r="L24" s="181">
        <v>1.2386698073794607E-2</v>
      </c>
      <c r="M24" s="73">
        <f t="shared" si="4"/>
        <v>7940580.8851778954</v>
      </c>
      <c r="N24" s="181">
        <v>1.2063959116452144E-2</v>
      </c>
      <c r="O24" s="73">
        <f t="shared" si="5"/>
        <v>129688.00735090623</v>
      </c>
      <c r="P24" s="181">
        <v>0</v>
      </c>
      <c r="Q24" s="73">
        <f t="shared" si="6"/>
        <v>0</v>
      </c>
      <c r="R24" s="181">
        <v>4.1416639999999998E-2</v>
      </c>
      <c r="S24" s="73">
        <f t="shared" si="7"/>
        <v>1242499.2</v>
      </c>
      <c r="T24" s="181">
        <v>0</v>
      </c>
      <c r="U24" s="73">
        <f t="shared" si="8"/>
        <v>0</v>
      </c>
      <c r="V24" s="181">
        <v>0</v>
      </c>
      <c r="W24" s="73">
        <f t="shared" si="9"/>
        <v>0</v>
      </c>
      <c r="X24" s="181">
        <v>3.0193503043309047E-3</v>
      </c>
      <c r="Y24" s="73">
        <f t="shared" si="10"/>
        <v>1027956.923596883</v>
      </c>
      <c r="Z24" s="73">
        <v>1750000</v>
      </c>
      <c r="AA24" s="73">
        <f t="shared" si="11"/>
        <v>2777956.9235968832</v>
      </c>
      <c r="AB24" s="74">
        <f t="shared" si="12"/>
        <v>24647159.253612272</v>
      </c>
    </row>
    <row r="25" spans="1:28" ht="14">
      <c r="A25" s="37" t="s">
        <v>122</v>
      </c>
      <c r="B25" s="181">
        <v>4.7704553788513099E-2</v>
      </c>
      <c r="C25" s="73">
        <f t="shared" si="0"/>
        <v>5237762.4722074615</v>
      </c>
      <c r="D25" s="181">
        <v>4.3961645729089012E-2</v>
      </c>
      <c r="E25" s="73">
        <f t="shared" si="0"/>
        <v>1008307.775451489</v>
      </c>
      <c r="F25" s="101">
        <v>5.5343168138015951E-2</v>
      </c>
      <c r="G25" s="73">
        <f t="shared" si="1"/>
        <v>277088614.86051244</v>
      </c>
      <c r="H25" s="181">
        <v>7.7014970899263235E-2</v>
      </c>
      <c r="I25" s="73">
        <f t="shared" si="2"/>
        <v>1782774.8210400001</v>
      </c>
      <c r="J25" s="181">
        <v>3.7887463031241582E-2</v>
      </c>
      <c r="K25" s="73">
        <f t="shared" si="3"/>
        <v>10110926.708093803</v>
      </c>
      <c r="L25" s="181">
        <v>2.6078669615529973E-2</v>
      </c>
      <c r="M25" s="73">
        <f t="shared" si="4"/>
        <v>16717916.609112032</v>
      </c>
      <c r="N25" s="181">
        <v>2.5802915922351479E-2</v>
      </c>
      <c r="O25" s="73">
        <f t="shared" si="5"/>
        <v>277382.30190528417</v>
      </c>
      <c r="P25" s="181">
        <v>0</v>
      </c>
      <c r="Q25" s="73">
        <f t="shared" si="6"/>
        <v>0</v>
      </c>
      <c r="R25" s="181">
        <v>0</v>
      </c>
      <c r="S25" s="73">
        <f t="shared" si="7"/>
        <v>0</v>
      </c>
      <c r="T25" s="181">
        <v>0.10463183896232617</v>
      </c>
      <c r="U25" s="73">
        <f t="shared" si="8"/>
        <v>256505759.40446174</v>
      </c>
      <c r="V25" s="181">
        <v>0</v>
      </c>
      <c r="W25" s="73">
        <f t="shared" si="9"/>
        <v>0</v>
      </c>
      <c r="X25" s="181">
        <v>4.4062629232095564E-2</v>
      </c>
      <c r="Y25" s="73">
        <f t="shared" si="10"/>
        <v>15001401.038509974</v>
      </c>
      <c r="Z25" s="73">
        <v>1750000</v>
      </c>
      <c r="AA25" s="73">
        <f t="shared" si="11"/>
        <v>16751401.038509974</v>
      </c>
      <c r="AB25" s="74">
        <f t="shared" si="12"/>
        <v>585480845.99129426</v>
      </c>
    </row>
    <row r="26" spans="1:28" ht="14">
      <c r="A26" s="37" t="s">
        <v>48</v>
      </c>
      <c r="B26" s="181">
        <v>1.6268584714793696E-2</v>
      </c>
      <c r="C26" s="73">
        <f t="shared" si="0"/>
        <v>1786223.2371533576</v>
      </c>
      <c r="D26" s="181">
        <v>1.6437762914576107E-2</v>
      </c>
      <c r="E26" s="73">
        <f t="shared" si="0"/>
        <v>377017.82731095853</v>
      </c>
      <c r="F26" s="101">
        <v>1.158624384880466E-2</v>
      </c>
      <c r="G26" s="73">
        <f t="shared" si="1"/>
        <v>58009260.537727296</v>
      </c>
      <c r="H26" s="181">
        <v>0</v>
      </c>
      <c r="I26" s="73">
        <f t="shared" si="2"/>
        <v>0</v>
      </c>
      <c r="J26" s="181">
        <v>2.0578006090248676E-2</v>
      </c>
      <c r="K26" s="73">
        <f t="shared" si="3"/>
        <v>5491597.872511181</v>
      </c>
      <c r="L26" s="181">
        <v>2.5708246807689385E-2</v>
      </c>
      <c r="M26" s="73">
        <f t="shared" si="4"/>
        <v>16480454.433974681</v>
      </c>
      <c r="N26" s="181">
        <v>2.6394568180055984E-2</v>
      </c>
      <c r="O26" s="73">
        <f t="shared" si="5"/>
        <v>283742.58559040725</v>
      </c>
      <c r="P26" s="181">
        <v>0</v>
      </c>
      <c r="Q26" s="73">
        <f t="shared" si="6"/>
        <v>0</v>
      </c>
      <c r="R26" s="181">
        <v>0</v>
      </c>
      <c r="S26" s="73">
        <f t="shared" si="7"/>
        <v>0</v>
      </c>
      <c r="T26" s="181">
        <v>1.1069161214109289E-3</v>
      </c>
      <c r="U26" s="73">
        <f t="shared" si="8"/>
        <v>2713613.4004276074</v>
      </c>
      <c r="V26" s="181">
        <v>0</v>
      </c>
      <c r="W26" s="73">
        <f t="shared" si="9"/>
        <v>0</v>
      </c>
      <c r="X26" s="181">
        <v>1.3066973341810215E-2</v>
      </c>
      <c r="Y26" s="73">
        <f t="shared" si="10"/>
        <v>4448733.7881605411</v>
      </c>
      <c r="Z26" s="73">
        <v>1750000</v>
      </c>
      <c r="AA26" s="73">
        <f t="shared" si="11"/>
        <v>6198733.7881605411</v>
      </c>
      <c r="AB26" s="74">
        <f t="shared" si="12"/>
        <v>91340643.682856038</v>
      </c>
    </row>
    <row r="27" spans="1:28" ht="14">
      <c r="A27" s="37" t="s">
        <v>49</v>
      </c>
      <c r="B27" s="181">
        <v>4.3500210315230376E-3</v>
      </c>
      <c r="C27" s="73">
        <f t="shared" ref="C27:E42" si="13">B27*C$67</f>
        <v>477614.29680767423</v>
      </c>
      <c r="D27" s="181">
        <v>5.4368433014395316E-3</v>
      </c>
      <c r="E27" s="73">
        <f t="shared" si="13"/>
        <v>124699.86698258268</v>
      </c>
      <c r="F27" s="101">
        <v>4.1737233651017768E-3</v>
      </c>
      <c r="G27" s="73">
        <f t="shared" si="1"/>
        <v>20896729.713104352</v>
      </c>
      <c r="H27" s="181">
        <v>0</v>
      </c>
      <c r="I27" s="73">
        <f t="shared" si="2"/>
        <v>0</v>
      </c>
      <c r="J27" s="181">
        <v>9.2896155252231629E-3</v>
      </c>
      <c r="K27" s="73">
        <f t="shared" si="3"/>
        <v>2479095.0411340785</v>
      </c>
      <c r="L27" s="181">
        <v>1.965541975786389E-2</v>
      </c>
      <c r="M27" s="73">
        <f t="shared" si="4"/>
        <v>12600246.610485837</v>
      </c>
      <c r="N27" s="181">
        <v>1.9733958098018877E-2</v>
      </c>
      <c r="O27" s="73">
        <f t="shared" si="5"/>
        <v>212140.7804995109</v>
      </c>
      <c r="P27" s="181">
        <v>0</v>
      </c>
      <c r="Q27" s="73">
        <f t="shared" si="6"/>
        <v>0</v>
      </c>
      <c r="R27" s="181">
        <v>0</v>
      </c>
      <c r="S27" s="73">
        <f t="shared" si="7"/>
        <v>0</v>
      </c>
      <c r="T27" s="181">
        <v>0</v>
      </c>
      <c r="U27" s="73">
        <f t="shared" si="8"/>
        <v>0</v>
      </c>
      <c r="V27" s="181">
        <v>0</v>
      </c>
      <c r="W27" s="73">
        <f t="shared" si="9"/>
        <v>0</v>
      </c>
      <c r="X27" s="181">
        <v>5.530684206394073E-3</v>
      </c>
      <c r="Y27" s="73">
        <f t="shared" si="10"/>
        <v>1882956.4472978886</v>
      </c>
      <c r="Z27" s="73">
        <v>1750000</v>
      </c>
      <c r="AA27" s="73">
        <f t="shared" si="11"/>
        <v>3632956.4472978888</v>
      </c>
      <c r="AB27" s="74">
        <f t="shared" si="12"/>
        <v>40423482.756311916</v>
      </c>
    </row>
    <row r="28" spans="1:28" ht="14">
      <c r="A28" s="37" t="s">
        <v>50</v>
      </c>
      <c r="B28" s="181">
        <v>5.8977219304703959E-3</v>
      </c>
      <c r="C28" s="73">
        <f t="shared" si="13"/>
        <v>647545.44683260552</v>
      </c>
      <c r="D28" s="181">
        <v>6.1328929805395472E-3</v>
      </c>
      <c r="E28" s="73">
        <f t="shared" si="13"/>
        <v>140664.51734763177</v>
      </c>
      <c r="F28" s="101">
        <v>3.6580077583772451E-3</v>
      </c>
      <c r="G28" s="73">
        <f t="shared" si="1"/>
        <v>18314677.981391329</v>
      </c>
      <c r="H28" s="181">
        <v>0</v>
      </c>
      <c r="I28" s="73">
        <f t="shared" si="2"/>
        <v>0</v>
      </c>
      <c r="J28" s="181">
        <v>8.1962927949747761E-3</v>
      </c>
      <c r="K28" s="73">
        <f t="shared" si="3"/>
        <v>2187322.9057256184</v>
      </c>
      <c r="L28" s="181">
        <v>1.770502651767732E-2</v>
      </c>
      <c r="M28" s="73">
        <f t="shared" si="4"/>
        <v>11349933.154120043</v>
      </c>
      <c r="N28" s="181">
        <v>1.701019083329039E-2</v>
      </c>
      <c r="O28" s="73">
        <f t="shared" si="5"/>
        <v>182860.18151534017</v>
      </c>
      <c r="P28" s="181">
        <v>0</v>
      </c>
      <c r="Q28" s="73">
        <f t="shared" si="6"/>
        <v>0</v>
      </c>
      <c r="R28" s="181">
        <v>3.5838799999999998E-3</v>
      </c>
      <c r="S28" s="73">
        <f t="shared" si="7"/>
        <v>107516.4</v>
      </c>
      <c r="T28" s="181">
        <v>0</v>
      </c>
      <c r="U28" s="73">
        <f t="shared" si="8"/>
        <v>0</v>
      </c>
      <c r="V28" s="181">
        <v>0</v>
      </c>
      <c r="W28" s="73">
        <f t="shared" si="9"/>
        <v>0</v>
      </c>
      <c r="X28" s="181">
        <v>4.9327165828193728E-3</v>
      </c>
      <c r="Y28" s="73">
        <f t="shared" si="10"/>
        <v>1679374.5847168248</v>
      </c>
      <c r="Z28" s="73">
        <v>1750000</v>
      </c>
      <c r="AA28" s="73">
        <f t="shared" si="11"/>
        <v>3429374.5847168248</v>
      </c>
      <c r="AB28" s="74">
        <f t="shared" si="12"/>
        <v>36359895.171649389</v>
      </c>
    </row>
    <row r="29" spans="1:28" ht="14">
      <c r="A29" s="37" t="s">
        <v>51</v>
      </c>
      <c r="B29" s="181">
        <v>6.5866899843342909E-3</v>
      </c>
      <c r="C29" s="73">
        <f t="shared" si="13"/>
        <v>723191.28628592531</v>
      </c>
      <c r="D29" s="181">
        <v>7.6200570030074575E-3</v>
      </c>
      <c r="E29" s="73">
        <f t="shared" si="13"/>
        <v>174774.22871892125</v>
      </c>
      <c r="F29" s="101">
        <v>5.1337580673096236E-3</v>
      </c>
      <c r="G29" s="73">
        <f t="shared" si="1"/>
        <v>25703369.71588489</v>
      </c>
      <c r="H29" s="181">
        <v>0</v>
      </c>
      <c r="I29" s="73">
        <f t="shared" si="2"/>
        <v>0</v>
      </c>
      <c r="J29" s="181">
        <v>1.3276876815404265E-2</v>
      </c>
      <c r="K29" s="73">
        <f t="shared" si="3"/>
        <v>3543164.8796924809</v>
      </c>
      <c r="L29" s="181">
        <v>2.6934131716115035E-2</v>
      </c>
      <c r="M29" s="73">
        <f t="shared" si="4"/>
        <v>17266316.672101449</v>
      </c>
      <c r="N29" s="181">
        <v>2.5733104724428066E-2</v>
      </c>
      <c r="O29" s="73">
        <f t="shared" si="5"/>
        <v>276631.82894180075</v>
      </c>
      <c r="P29" s="181">
        <v>8.8200000000000001E-2</v>
      </c>
      <c r="Q29" s="73">
        <f t="shared" si="6"/>
        <v>1764000</v>
      </c>
      <c r="R29" s="181">
        <v>0</v>
      </c>
      <c r="S29" s="73">
        <f t="shared" si="7"/>
        <v>0</v>
      </c>
      <c r="T29" s="181">
        <v>0</v>
      </c>
      <c r="U29" s="73">
        <f t="shared" si="8"/>
        <v>0</v>
      </c>
      <c r="V29" s="181">
        <v>0</v>
      </c>
      <c r="W29" s="73">
        <f t="shared" si="9"/>
        <v>0</v>
      </c>
      <c r="X29" s="181">
        <v>7.2346981091170699E-3</v>
      </c>
      <c r="Y29" s="73">
        <f t="shared" si="10"/>
        <v>2463098.7668879372</v>
      </c>
      <c r="Z29" s="73">
        <v>1750000</v>
      </c>
      <c r="AA29" s="73">
        <f t="shared" si="11"/>
        <v>4213098.7668879367</v>
      </c>
      <c r="AB29" s="74">
        <f t="shared" si="12"/>
        <v>53664547.378513411</v>
      </c>
    </row>
    <row r="30" spans="1:28" ht="14">
      <c r="A30" s="37" t="s">
        <v>52</v>
      </c>
      <c r="B30" s="181">
        <v>9.531262727726279E-3</v>
      </c>
      <c r="C30" s="73">
        <f t="shared" si="13"/>
        <v>1046493.1807004007</v>
      </c>
      <c r="D30" s="181">
        <v>1.1912588870511758E-2</v>
      </c>
      <c r="E30" s="73">
        <f t="shared" si="13"/>
        <v>273228.07835526374</v>
      </c>
      <c r="F30" s="101">
        <v>7.04156537651268E-3</v>
      </c>
      <c r="G30" s="73">
        <f t="shared" si="1"/>
        <v>35255256.651766904</v>
      </c>
      <c r="H30" s="181">
        <v>1.2964103484238503E-2</v>
      </c>
      <c r="I30" s="73">
        <f t="shared" si="2"/>
        <v>300098.50031999999</v>
      </c>
      <c r="J30" s="181">
        <v>1.5663002055443003E-2</v>
      </c>
      <c r="K30" s="73">
        <f t="shared" si="3"/>
        <v>4179943.789868399</v>
      </c>
      <c r="L30" s="181">
        <v>1.841591101324818E-2</v>
      </c>
      <c r="M30" s="73">
        <f t="shared" si="4"/>
        <v>11805650.715286853</v>
      </c>
      <c r="N30" s="181">
        <v>1.9546946994269922E-2</v>
      </c>
      <c r="O30" s="73">
        <f t="shared" si="5"/>
        <v>210130.40420731835</v>
      </c>
      <c r="P30" s="181">
        <v>0</v>
      </c>
      <c r="Q30" s="73">
        <f t="shared" si="6"/>
        <v>0</v>
      </c>
      <c r="R30" s="181">
        <v>0</v>
      </c>
      <c r="S30" s="73">
        <f t="shared" si="7"/>
        <v>0</v>
      </c>
      <c r="T30" s="181">
        <v>1.6571689170716635E-3</v>
      </c>
      <c r="U30" s="73">
        <f t="shared" si="8"/>
        <v>4062562.3686876884</v>
      </c>
      <c r="V30" s="181">
        <v>6.3462052403915467E-3</v>
      </c>
      <c r="W30" s="73">
        <f t="shared" si="9"/>
        <v>461150.7797851697</v>
      </c>
      <c r="X30" s="181">
        <v>9.5044023996227345E-3</v>
      </c>
      <c r="Y30" s="73">
        <f t="shared" si="10"/>
        <v>3235833.9598187497</v>
      </c>
      <c r="Z30" s="73">
        <v>1750000</v>
      </c>
      <c r="AA30" s="73">
        <f t="shared" si="11"/>
        <v>4985833.9598187497</v>
      </c>
      <c r="AB30" s="74">
        <f t="shared" si="12"/>
        <v>62580348.428796753</v>
      </c>
    </row>
    <row r="31" spans="1:28" ht="14">
      <c r="A31" s="37" t="s">
        <v>53</v>
      </c>
      <c r="B31" s="181">
        <v>4.0000007882070787E-3</v>
      </c>
      <c r="C31" s="73">
        <f t="shared" si="13"/>
        <v>439183.52344627021</v>
      </c>
      <c r="D31" s="181">
        <v>4.9997117070213551E-3</v>
      </c>
      <c r="E31" s="73">
        <f t="shared" si="13"/>
        <v>114673.78223899663</v>
      </c>
      <c r="F31" s="101">
        <v>2.7103103891558344E-3</v>
      </c>
      <c r="G31" s="73">
        <f t="shared" si="1"/>
        <v>13569807.743936824</v>
      </c>
      <c r="H31" s="181">
        <v>0</v>
      </c>
      <c r="I31" s="73">
        <f t="shared" si="2"/>
        <v>0</v>
      </c>
      <c r="J31" s="181">
        <v>4.2678745247134702E-3</v>
      </c>
      <c r="K31" s="73">
        <f t="shared" si="3"/>
        <v>1138956.3477273677</v>
      </c>
      <c r="L31" s="181">
        <v>1.1074647454818532E-2</v>
      </c>
      <c r="M31" s="73">
        <f t="shared" si="4"/>
        <v>7099481.505556413</v>
      </c>
      <c r="N31" s="181">
        <v>1.3629764932224255E-2</v>
      </c>
      <c r="O31" s="73">
        <f t="shared" si="5"/>
        <v>146520.47786790386</v>
      </c>
      <c r="P31" s="181">
        <v>0</v>
      </c>
      <c r="Q31" s="73">
        <f t="shared" si="6"/>
        <v>0</v>
      </c>
      <c r="R31" s="181">
        <v>2.0924400000000001E-3</v>
      </c>
      <c r="S31" s="73">
        <f t="shared" si="7"/>
        <v>62773.200000000004</v>
      </c>
      <c r="T31" s="181">
        <v>3.2934854087348195E-3</v>
      </c>
      <c r="U31" s="73">
        <f t="shared" si="8"/>
        <v>8074004.855818483</v>
      </c>
      <c r="V31" s="181">
        <v>0</v>
      </c>
      <c r="W31" s="73">
        <f t="shared" si="9"/>
        <v>0</v>
      </c>
      <c r="X31" s="181">
        <v>1.3062813347491909E-3</v>
      </c>
      <c r="Y31" s="73">
        <f t="shared" si="10"/>
        <v>444731.74917621101</v>
      </c>
      <c r="Z31" s="73">
        <v>1750000</v>
      </c>
      <c r="AA31" s="73">
        <f t="shared" si="11"/>
        <v>2194731.7491762112</v>
      </c>
      <c r="AB31" s="74">
        <f t="shared" si="12"/>
        <v>32840133.18576847</v>
      </c>
    </row>
    <row r="32" spans="1:28" ht="14">
      <c r="A32" s="37" t="s">
        <v>54</v>
      </c>
      <c r="B32" s="181">
        <v>2.2508153931850437E-2</v>
      </c>
      <c r="C32" s="73">
        <f t="shared" si="13"/>
        <v>2471302.1005408214</v>
      </c>
      <c r="D32" s="181">
        <v>2.0663470171890269E-2</v>
      </c>
      <c r="E32" s="73">
        <f t="shared" si="13"/>
        <v>473938.98241485667</v>
      </c>
      <c r="F32" s="101">
        <v>3.1759999882534751E-2</v>
      </c>
      <c r="G32" s="73">
        <f t="shared" si="1"/>
        <v>159013924.78065464</v>
      </c>
      <c r="H32" s="181">
        <v>2.7261929059244391E-2</v>
      </c>
      <c r="I32" s="73">
        <f t="shared" si="2"/>
        <v>631070.55852000008</v>
      </c>
      <c r="J32" s="181">
        <v>1.750911926983759E-2</v>
      </c>
      <c r="K32" s="73">
        <f t="shared" si="3"/>
        <v>4672612.1913895626</v>
      </c>
      <c r="L32" s="181">
        <v>8.9155321929826146E-3</v>
      </c>
      <c r="M32" s="73">
        <f t="shared" si="4"/>
        <v>5715365.3129367307</v>
      </c>
      <c r="N32" s="181">
        <v>1.3403561577009523E-2</v>
      </c>
      <c r="O32" s="73">
        <f t="shared" si="5"/>
        <v>144088.78342077319</v>
      </c>
      <c r="P32" s="181">
        <v>3.1800000000000002E-2</v>
      </c>
      <c r="Q32" s="73">
        <f t="shared" si="6"/>
        <v>636000</v>
      </c>
      <c r="R32" s="181">
        <v>0</v>
      </c>
      <c r="S32" s="73">
        <f t="shared" si="7"/>
        <v>0</v>
      </c>
      <c r="T32" s="181">
        <v>2.4820515460663432E-2</v>
      </c>
      <c r="U32" s="73">
        <f t="shared" si="8"/>
        <v>60847684.893888019</v>
      </c>
      <c r="V32" s="181">
        <v>0</v>
      </c>
      <c r="W32" s="73">
        <f t="shared" si="9"/>
        <v>0</v>
      </c>
      <c r="X32" s="181">
        <v>2.295667355980802E-2</v>
      </c>
      <c r="Y32" s="73">
        <f t="shared" si="10"/>
        <v>7815744.8291802742</v>
      </c>
      <c r="Z32" s="73">
        <v>1750000</v>
      </c>
      <c r="AA32" s="73">
        <f t="shared" si="11"/>
        <v>9565744.8291802742</v>
      </c>
      <c r="AB32" s="74">
        <f t="shared" si="12"/>
        <v>244171732.43294567</v>
      </c>
    </row>
    <row r="33" spans="1:28" ht="14">
      <c r="A33" s="37" t="s">
        <v>55</v>
      </c>
      <c r="B33" s="181">
        <v>2.6761469461587657E-2</v>
      </c>
      <c r="C33" s="73">
        <f t="shared" si="13"/>
        <v>2938298.5336880307</v>
      </c>
      <c r="D33" s="181">
        <v>2.5332856176809103E-2</v>
      </c>
      <c r="E33" s="73">
        <f t="shared" si="13"/>
        <v>581036.38828446146</v>
      </c>
      <c r="F33" s="101">
        <v>3.9930965045562143E-2</v>
      </c>
      <c r="G33" s="73">
        <f t="shared" si="1"/>
        <v>199923787.64666456</v>
      </c>
      <c r="H33" s="181">
        <v>5.1526044879055322E-2</v>
      </c>
      <c r="I33" s="73">
        <f t="shared" si="2"/>
        <v>1192746.47988</v>
      </c>
      <c r="J33" s="181">
        <v>2.2606431797646258E-2</v>
      </c>
      <c r="K33" s="73">
        <f t="shared" si="3"/>
        <v>6032918.4577242518</v>
      </c>
      <c r="L33" s="181">
        <v>5.8954713375621703E-3</v>
      </c>
      <c r="M33" s="73">
        <f t="shared" si="4"/>
        <v>3779333.8251458034</v>
      </c>
      <c r="N33" s="181">
        <v>1.0985701140428569E-2</v>
      </c>
      <c r="O33" s="73">
        <f t="shared" si="5"/>
        <v>118096.69416997736</v>
      </c>
      <c r="P33" s="181">
        <v>0</v>
      </c>
      <c r="Q33" s="73">
        <f t="shared" si="6"/>
        <v>0</v>
      </c>
      <c r="R33" s="181">
        <v>0</v>
      </c>
      <c r="S33" s="73">
        <f t="shared" si="7"/>
        <v>0</v>
      </c>
      <c r="T33" s="181">
        <v>5.7666060826049401E-2</v>
      </c>
      <c r="U33" s="73">
        <f t="shared" si="8"/>
        <v>141368792.43205875</v>
      </c>
      <c r="V33" s="181">
        <v>7.1192526277808572E-4</v>
      </c>
      <c r="W33" s="73">
        <f t="shared" si="9"/>
        <v>51732.472815300942</v>
      </c>
      <c r="X33" s="181">
        <v>2.332246484163791E-2</v>
      </c>
      <c r="Y33" s="73">
        <f t="shared" si="10"/>
        <v>7940280.7865380738</v>
      </c>
      <c r="Z33" s="73">
        <v>1750000</v>
      </c>
      <c r="AA33" s="73">
        <f t="shared" si="11"/>
        <v>9690280.7865380738</v>
      </c>
      <c r="AB33" s="74">
        <f t="shared" si="12"/>
        <v>365677023.71696919</v>
      </c>
    </row>
    <row r="34" spans="1:28" ht="14">
      <c r="A34" s="37" t="s">
        <v>56</v>
      </c>
      <c r="B34" s="181">
        <v>2.8064272544592088E-2</v>
      </c>
      <c r="C34" s="73">
        <f t="shared" si="13"/>
        <v>3081340.9175889133</v>
      </c>
      <c r="D34" s="181">
        <v>2.8106884981926147E-2</v>
      </c>
      <c r="E34" s="73">
        <f t="shared" si="13"/>
        <v>644661.73185696383</v>
      </c>
      <c r="F34" s="101">
        <v>1.7919508829348313E-2</v>
      </c>
      <c r="G34" s="73">
        <f t="shared" si="1"/>
        <v>89718244.321002692</v>
      </c>
      <c r="H34" s="181">
        <v>1.3049734785192828E-2</v>
      </c>
      <c r="I34" s="73">
        <f t="shared" si="2"/>
        <v>302080.72956000001</v>
      </c>
      <c r="J34" s="181">
        <v>3.4075173305705156E-2</v>
      </c>
      <c r="K34" s="73">
        <f t="shared" si="3"/>
        <v>9093551.0666280929</v>
      </c>
      <c r="L34" s="181">
        <v>3.3386737908759678E-2</v>
      </c>
      <c r="M34" s="73">
        <f t="shared" si="4"/>
        <v>21402805.758026041</v>
      </c>
      <c r="N34" s="181">
        <v>3.1572938617114597E-2</v>
      </c>
      <c r="O34" s="73">
        <f t="shared" si="5"/>
        <v>339410.2595956283</v>
      </c>
      <c r="P34" s="181">
        <v>0</v>
      </c>
      <c r="Q34" s="73">
        <f t="shared" si="6"/>
        <v>0</v>
      </c>
      <c r="R34" s="181">
        <v>1.4982000000000001E-3</v>
      </c>
      <c r="S34" s="73">
        <f t="shared" si="7"/>
        <v>44946</v>
      </c>
      <c r="T34" s="181">
        <v>5.1262796285633219E-4</v>
      </c>
      <c r="U34" s="73">
        <f t="shared" si="8"/>
        <v>1256711.400740752</v>
      </c>
      <c r="V34" s="181">
        <v>0</v>
      </c>
      <c r="W34" s="73">
        <f t="shared" si="9"/>
        <v>0</v>
      </c>
      <c r="X34" s="181">
        <v>2.5822289101344945E-2</v>
      </c>
      <c r="Y34" s="73">
        <f t="shared" si="10"/>
        <v>8791361.7796428986</v>
      </c>
      <c r="Z34" s="73">
        <v>1750000</v>
      </c>
      <c r="AA34" s="73">
        <f t="shared" si="11"/>
        <v>10541361.779642899</v>
      </c>
      <c r="AB34" s="74">
        <f t="shared" si="12"/>
        <v>136425113.96464199</v>
      </c>
    </row>
    <row r="35" spans="1:28" ht="14">
      <c r="A35" s="37" t="s">
        <v>57</v>
      </c>
      <c r="B35" s="181">
        <v>1.4502728740063465E-2</v>
      </c>
      <c r="C35" s="73">
        <f t="shared" si="13"/>
        <v>1592339.563138311</v>
      </c>
      <c r="D35" s="181">
        <v>1.3179201125970673E-2</v>
      </c>
      <c r="E35" s="73">
        <f t="shared" si="13"/>
        <v>302279.19699471683</v>
      </c>
      <c r="F35" s="101">
        <v>1.2424201878837294E-2</v>
      </c>
      <c r="G35" s="73">
        <f t="shared" si="1"/>
        <v>62204694.909571521</v>
      </c>
      <c r="H35" s="181">
        <v>1.412113532122952E-2</v>
      </c>
      <c r="I35" s="73">
        <f t="shared" si="2"/>
        <v>326881.95815999998</v>
      </c>
      <c r="J35" s="181">
        <v>1.4226622577048351E-2</v>
      </c>
      <c r="K35" s="73">
        <f t="shared" si="3"/>
        <v>3796621.0105341715</v>
      </c>
      <c r="L35" s="181">
        <v>2.4944885073894217E-2</v>
      </c>
      <c r="M35" s="73">
        <f t="shared" si="4"/>
        <v>15991095.966065142</v>
      </c>
      <c r="N35" s="181">
        <v>2.3183629924150746E-2</v>
      </c>
      <c r="O35" s="73">
        <f t="shared" si="5"/>
        <v>249224.88040627295</v>
      </c>
      <c r="P35" s="181">
        <v>0</v>
      </c>
      <c r="Q35" s="73">
        <f t="shared" si="6"/>
        <v>0</v>
      </c>
      <c r="R35" s="181">
        <v>6.4973760000000005E-2</v>
      </c>
      <c r="S35" s="73">
        <f t="shared" si="7"/>
        <v>1949212.8</v>
      </c>
      <c r="T35" s="181">
        <v>2.9883284321942211E-3</v>
      </c>
      <c r="U35" s="73">
        <f t="shared" si="8"/>
        <v>7325910.1765947016</v>
      </c>
      <c r="V35" s="181">
        <v>0.10960952530449433</v>
      </c>
      <c r="W35" s="73">
        <f t="shared" si="9"/>
        <v>7964841.3739186348</v>
      </c>
      <c r="X35" s="181">
        <v>1.4769228994015121E-2</v>
      </c>
      <c r="Y35" s="73">
        <f t="shared" si="10"/>
        <v>5028277.5002319803</v>
      </c>
      <c r="Z35" s="73">
        <v>1750000</v>
      </c>
      <c r="AA35" s="73">
        <f t="shared" si="11"/>
        <v>6778277.5002319803</v>
      </c>
      <c r="AB35" s="74">
        <f t="shared" si="12"/>
        <v>108481379.33561546</v>
      </c>
    </row>
    <row r="36" spans="1:28" ht="14">
      <c r="A36" s="37" t="s">
        <v>58</v>
      </c>
      <c r="B36" s="181">
        <v>4.0000007882070787E-3</v>
      </c>
      <c r="C36" s="73">
        <f t="shared" si="13"/>
        <v>439183.52344627021</v>
      </c>
      <c r="D36" s="181">
        <v>4.9997117070213551E-3</v>
      </c>
      <c r="E36" s="73">
        <f t="shared" si="13"/>
        <v>114673.78223899663</v>
      </c>
      <c r="F36" s="101">
        <v>1.7385770223808219E-3</v>
      </c>
      <c r="G36" s="73">
        <f t="shared" si="1"/>
        <v>8704595.6197961587</v>
      </c>
      <c r="H36" s="181">
        <v>0</v>
      </c>
      <c r="I36" s="73">
        <f t="shared" si="2"/>
        <v>0</v>
      </c>
      <c r="J36" s="181">
        <v>8.044116589003978E-3</v>
      </c>
      <c r="K36" s="73">
        <f t="shared" si="3"/>
        <v>2146712.0455047116</v>
      </c>
      <c r="L36" s="181">
        <v>2.2599961708368969E-2</v>
      </c>
      <c r="M36" s="73">
        <f t="shared" si="4"/>
        <v>14487866.167246558</v>
      </c>
      <c r="N36" s="181">
        <v>2.2570120449282634E-2</v>
      </c>
      <c r="O36" s="73">
        <f t="shared" si="5"/>
        <v>242629.63082704978</v>
      </c>
      <c r="P36" s="181">
        <v>1.2699999999999999E-2</v>
      </c>
      <c r="Q36" s="73">
        <f t="shared" si="6"/>
        <v>254000</v>
      </c>
      <c r="R36" s="181">
        <v>3.0188320000000001E-2</v>
      </c>
      <c r="S36" s="73">
        <f t="shared" si="7"/>
        <v>905649.6</v>
      </c>
      <c r="T36" s="181">
        <v>0</v>
      </c>
      <c r="U36" s="73">
        <f t="shared" si="8"/>
        <v>0</v>
      </c>
      <c r="V36" s="181">
        <v>0</v>
      </c>
      <c r="W36" s="73">
        <f t="shared" si="9"/>
        <v>0</v>
      </c>
      <c r="X36" s="181">
        <v>2.2617568348459508E-3</v>
      </c>
      <c r="Y36" s="73">
        <f t="shared" si="10"/>
        <v>770029.43134406849</v>
      </c>
      <c r="Z36" s="73">
        <v>1750000</v>
      </c>
      <c r="AA36" s="73">
        <f t="shared" si="11"/>
        <v>2520029.4313440686</v>
      </c>
      <c r="AB36" s="74">
        <f t="shared" si="12"/>
        <v>29815339.800403815</v>
      </c>
    </row>
    <row r="37" spans="1:28" ht="14">
      <c r="A37" s="37" t="s">
        <v>59</v>
      </c>
      <c r="B37" s="181">
        <v>1.5553990547464145E-2</v>
      </c>
      <c r="C37" s="73">
        <f t="shared" si="13"/>
        <v>1707763.7565534508</v>
      </c>
      <c r="D37" s="181">
        <v>1.4524641105794968E-2</v>
      </c>
      <c r="E37" s="73">
        <f t="shared" si="13"/>
        <v>333138.31454050221</v>
      </c>
      <c r="F37" s="101">
        <v>1.0035763824411121E-2</v>
      </c>
      <c r="G37" s="73">
        <f t="shared" si="1"/>
        <v>50246416.870073453</v>
      </c>
      <c r="H37" s="181">
        <v>3.0173169008556402E-2</v>
      </c>
      <c r="I37" s="73">
        <f t="shared" si="2"/>
        <v>698461.16087999998</v>
      </c>
      <c r="J37" s="181">
        <v>1.891439157024296E-2</v>
      </c>
      <c r="K37" s="73">
        <f t="shared" si="3"/>
        <v>5047633.480690375</v>
      </c>
      <c r="L37" s="181">
        <v>2.828471879090658E-2</v>
      </c>
      <c r="M37" s="73">
        <f t="shared" si="4"/>
        <v>18132120.120766014</v>
      </c>
      <c r="N37" s="181">
        <v>2.6024314458275938E-2</v>
      </c>
      <c r="O37" s="73">
        <f t="shared" si="5"/>
        <v>279762.34436707391</v>
      </c>
      <c r="P37" s="181">
        <v>0</v>
      </c>
      <c r="Q37" s="73">
        <f t="shared" si="6"/>
        <v>0</v>
      </c>
      <c r="R37" s="181">
        <v>0</v>
      </c>
      <c r="S37" s="73">
        <f t="shared" si="7"/>
        <v>0</v>
      </c>
      <c r="T37" s="181">
        <v>7.1253402151907107E-3</v>
      </c>
      <c r="U37" s="73">
        <f t="shared" si="8"/>
        <v>17467826.438286383</v>
      </c>
      <c r="V37" s="181">
        <v>4.1361788010482975E-4</v>
      </c>
      <c r="W37" s="73">
        <f t="shared" si="9"/>
        <v>30055.78936045611</v>
      </c>
      <c r="X37" s="181">
        <v>1.2480709934853387E-2</v>
      </c>
      <c r="Y37" s="73">
        <f t="shared" si="10"/>
        <v>4249136.7002147231</v>
      </c>
      <c r="Z37" s="73">
        <v>1750000</v>
      </c>
      <c r="AA37" s="73">
        <f t="shared" si="11"/>
        <v>5999136.7002147231</v>
      </c>
      <c r="AB37" s="74">
        <f t="shared" si="12"/>
        <v>99942314.975732416</v>
      </c>
    </row>
    <row r="38" spans="1:28" ht="14">
      <c r="A38" s="37" t="s">
        <v>123</v>
      </c>
      <c r="B38" s="181">
        <v>4.0000007882070787E-3</v>
      </c>
      <c r="C38" s="73">
        <f t="shared" si="13"/>
        <v>439183.52344627021</v>
      </c>
      <c r="D38" s="181">
        <v>4.9997117070213551E-3</v>
      </c>
      <c r="E38" s="73">
        <f t="shared" si="13"/>
        <v>114673.78223899663</v>
      </c>
      <c r="F38" s="101">
        <v>9.2007287791269206E-4</v>
      </c>
      <c r="G38" s="73">
        <f t="shared" si="1"/>
        <v>4606561.7110277135</v>
      </c>
      <c r="H38" s="181">
        <v>0</v>
      </c>
      <c r="I38" s="73">
        <f t="shared" si="2"/>
        <v>0</v>
      </c>
      <c r="J38" s="181">
        <v>3.2486512752591336E-3</v>
      </c>
      <c r="K38" s="73">
        <f t="shared" si="3"/>
        <v>866958.94410283957</v>
      </c>
      <c r="L38" s="181">
        <v>1.6107108197156446E-2</v>
      </c>
      <c r="M38" s="73">
        <f t="shared" si="4"/>
        <v>10325576.25154507</v>
      </c>
      <c r="N38" s="181">
        <v>1.1692857485385576E-2</v>
      </c>
      <c r="O38" s="73">
        <f t="shared" si="5"/>
        <v>125698.65107133622</v>
      </c>
      <c r="P38" s="181">
        <v>0</v>
      </c>
      <c r="Q38" s="73">
        <f t="shared" si="6"/>
        <v>0</v>
      </c>
      <c r="R38" s="181">
        <v>6.4205040000000005E-2</v>
      </c>
      <c r="S38" s="73">
        <f t="shared" si="7"/>
        <v>1926151.2000000002</v>
      </c>
      <c r="T38" s="181">
        <v>0</v>
      </c>
      <c r="U38" s="73">
        <f t="shared" si="8"/>
        <v>0</v>
      </c>
      <c r="V38" s="181">
        <v>0</v>
      </c>
      <c r="W38" s="73">
        <f t="shared" si="9"/>
        <v>0</v>
      </c>
      <c r="X38" s="181">
        <v>1.1535523047198452E-3</v>
      </c>
      <c r="Y38" s="73">
        <f t="shared" si="10"/>
        <v>392734.18412796018</v>
      </c>
      <c r="Z38" s="73">
        <v>1750000</v>
      </c>
      <c r="AA38" s="73">
        <f t="shared" si="11"/>
        <v>2142734.1841279604</v>
      </c>
      <c r="AB38" s="74">
        <f t="shared" si="12"/>
        <v>20547538.247560184</v>
      </c>
    </row>
    <row r="39" spans="1:28" ht="14">
      <c r="A39" s="37" t="s">
        <v>60</v>
      </c>
      <c r="B39" s="181">
        <v>0</v>
      </c>
      <c r="C39" s="73">
        <f t="shared" si="13"/>
        <v>0</v>
      </c>
      <c r="D39" s="181">
        <v>0</v>
      </c>
      <c r="E39" s="73">
        <f t="shared" si="13"/>
        <v>0</v>
      </c>
      <c r="F39" s="101"/>
      <c r="G39" s="73">
        <f t="shared" si="1"/>
        <v>0</v>
      </c>
      <c r="H39" s="181">
        <v>0</v>
      </c>
      <c r="I39" s="73">
        <f t="shared" si="2"/>
        <v>0</v>
      </c>
      <c r="J39" s="181">
        <v>3.6626381375819872E-5</v>
      </c>
      <c r="K39" s="73">
        <f t="shared" si="3"/>
        <v>9774.3851935464609</v>
      </c>
      <c r="L39" s="181">
        <v>4.6732749716112403E-4</v>
      </c>
      <c r="M39" s="73">
        <f t="shared" si="4"/>
        <v>299583.61534026207</v>
      </c>
      <c r="N39" s="181">
        <v>1.3547706155717786E-3</v>
      </c>
      <c r="O39" s="73">
        <f t="shared" si="5"/>
        <v>14563.834298100222</v>
      </c>
      <c r="P39" s="181">
        <v>0</v>
      </c>
      <c r="Q39" s="73">
        <f t="shared" si="6"/>
        <v>0</v>
      </c>
      <c r="R39" s="181">
        <v>0</v>
      </c>
      <c r="S39" s="73">
        <f t="shared" si="7"/>
        <v>0</v>
      </c>
      <c r="T39" s="181">
        <v>0</v>
      </c>
      <c r="U39" s="73">
        <f t="shared" si="8"/>
        <v>0</v>
      </c>
      <c r="V39" s="181">
        <v>0</v>
      </c>
      <c r="W39" s="73">
        <f t="shared" si="9"/>
        <v>0</v>
      </c>
      <c r="X39" s="181">
        <v>0</v>
      </c>
      <c r="Y39" s="73">
        <f t="shared" si="10"/>
        <v>0</v>
      </c>
      <c r="Z39" s="73">
        <v>500000</v>
      </c>
      <c r="AA39" s="73">
        <f t="shared" si="11"/>
        <v>500000</v>
      </c>
      <c r="AB39" s="74">
        <f t="shared" si="12"/>
        <v>823921.83483190881</v>
      </c>
    </row>
    <row r="40" spans="1:28" ht="14">
      <c r="A40" s="37" t="s">
        <v>61</v>
      </c>
      <c r="B40" s="181">
        <v>4.0000007882070787E-3</v>
      </c>
      <c r="C40" s="73">
        <f t="shared" si="13"/>
        <v>439183.52344627021</v>
      </c>
      <c r="D40" s="181">
        <v>4.9997117070213551E-3</v>
      </c>
      <c r="E40" s="73">
        <f t="shared" si="13"/>
        <v>114673.78223899663</v>
      </c>
      <c r="F40" s="101">
        <v>2.3108746006609386E-3</v>
      </c>
      <c r="G40" s="73">
        <f t="shared" si="1"/>
        <v>11569938.327647654</v>
      </c>
      <c r="H40" s="181">
        <v>0</v>
      </c>
      <c r="I40" s="73">
        <f t="shared" si="2"/>
        <v>0</v>
      </c>
      <c r="J40" s="181">
        <v>4.7748333585096014E-3</v>
      </c>
      <c r="K40" s="73">
        <f t="shared" si="3"/>
        <v>1274247.1062642138</v>
      </c>
      <c r="L40" s="181">
        <v>1.2341234079197157E-2</v>
      </c>
      <c r="M40" s="73">
        <f t="shared" si="4"/>
        <v>7911435.8681351291</v>
      </c>
      <c r="N40" s="181">
        <v>1.2587684419092166E-2</v>
      </c>
      <c r="O40" s="73">
        <f t="shared" si="5"/>
        <v>135318.07375307169</v>
      </c>
      <c r="P40" s="181">
        <v>0</v>
      </c>
      <c r="Q40" s="73">
        <f t="shared" si="6"/>
        <v>0</v>
      </c>
      <c r="R40" s="181">
        <v>1.8680760000000001E-2</v>
      </c>
      <c r="S40" s="73">
        <f t="shared" si="7"/>
        <v>560422.80000000005</v>
      </c>
      <c r="T40" s="181">
        <v>0</v>
      </c>
      <c r="U40" s="73">
        <f t="shared" si="8"/>
        <v>0</v>
      </c>
      <c r="V40" s="181">
        <v>0</v>
      </c>
      <c r="W40" s="73">
        <f t="shared" si="9"/>
        <v>0</v>
      </c>
      <c r="X40" s="181">
        <v>3.3709029813361584E-3</v>
      </c>
      <c r="Y40" s="73">
        <f t="shared" si="10"/>
        <v>1147645.257811767</v>
      </c>
      <c r="Z40" s="73">
        <v>1750000</v>
      </c>
      <c r="AA40" s="73">
        <f t="shared" si="11"/>
        <v>2897645.257811767</v>
      </c>
      <c r="AB40" s="74">
        <f t="shared" si="12"/>
        <v>24902864.739297099</v>
      </c>
    </row>
    <row r="41" spans="1:28" ht="14">
      <c r="A41" s="37" t="s">
        <v>62</v>
      </c>
      <c r="B41" s="181">
        <v>1.0824898211735486E-2</v>
      </c>
      <c r="C41" s="73">
        <f t="shared" si="13"/>
        <v>1188529.0001925624</v>
      </c>
      <c r="D41" s="181">
        <v>1.0009506029949908E-2</v>
      </c>
      <c r="E41" s="73">
        <f t="shared" si="13"/>
        <v>229578.82015205896</v>
      </c>
      <c r="F41" s="101">
        <v>8.2893433248500507E-3</v>
      </c>
      <c r="G41" s="73">
        <f t="shared" si="1"/>
        <v>41502551.033181205</v>
      </c>
      <c r="H41" s="181">
        <v>0</v>
      </c>
      <c r="I41" s="73">
        <f t="shared" si="2"/>
        <v>0</v>
      </c>
      <c r="J41" s="181">
        <v>8.0205754970083427E-3</v>
      </c>
      <c r="K41" s="73">
        <f t="shared" si="3"/>
        <v>2140429.6967604817</v>
      </c>
      <c r="L41" s="181">
        <v>1.0390934629218185E-2</v>
      </c>
      <c r="M41" s="73">
        <f t="shared" si="4"/>
        <v>6661182.5366488816</v>
      </c>
      <c r="N41" s="181">
        <v>8.9135992684615528E-3</v>
      </c>
      <c r="O41" s="73">
        <f t="shared" si="5"/>
        <v>95821.522295678602</v>
      </c>
      <c r="P41" s="181">
        <v>0</v>
      </c>
      <c r="Q41" s="73">
        <f t="shared" si="6"/>
        <v>0</v>
      </c>
      <c r="R41" s="181">
        <v>3.3834799999999999E-3</v>
      </c>
      <c r="S41" s="73">
        <f t="shared" si="7"/>
        <v>101504.4</v>
      </c>
      <c r="T41" s="181">
        <v>9.8586354362418692E-4</v>
      </c>
      <c r="U41" s="73">
        <f t="shared" si="8"/>
        <v>2416852.0732732974</v>
      </c>
      <c r="V41" s="181">
        <v>0</v>
      </c>
      <c r="W41" s="73">
        <f t="shared" si="9"/>
        <v>0</v>
      </c>
      <c r="X41" s="181">
        <v>1.0746402356736762E-2</v>
      </c>
      <c r="Y41" s="73">
        <f t="shared" si="10"/>
        <v>3658680.7070779488</v>
      </c>
      <c r="Z41" s="73">
        <v>1750000</v>
      </c>
      <c r="AA41" s="73">
        <f t="shared" si="11"/>
        <v>5408680.7070779484</v>
      </c>
      <c r="AB41" s="74">
        <f t="shared" si="12"/>
        <v>59745129.789582118</v>
      </c>
    </row>
    <row r="42" spans="1:28" ht="14">
      <c r="A42" s="37" t="s">
        <v>63</v>
      </c>
      <c r="B42" s="181">
        <v>4.0000007882070787E-3</v>
      </c>
      <c r="C42" s="73">
        <f t="shared" si="13"/>
        <v>439183.52344627021</v>
      </c>
      <c r="D42" s="181">
        <v>4.9997117070213551E-3</v>
      </c>
      <c r="E42" s="73">
        <f t="shared" si="13"/>
        <v>114673.78223899663</v>
      </c>
      <c r="F42" s="101">
        <v>1.6670719300395673E-3</v>
      </c>
      <c r="G42" s="73">
        <f t="shared" si="1"/>
        <v>8346588.5222823238</v>
      </c>
      <c r="H42" s="181">
        <v>0</v>
      </c>
      <c r="I42" s="73">
        <f t="shared" si="2"/>
        <v>0</v>
      </c>
      <c r="J42" s="181">
        <v>4.2874772126035828E-3</v>
      </c>
      <c r="K42" s="73">
        <f t="shared" si="3"/>
        <v>1144187.6650202444</v>
      </c>
      <c r="L42" s="181">
        <v>6.3390844658535936E-3</v>
      </c>
      <c r="M42" s="73">
        <f t="shared" si="4"/>
        <v>4063715.1756832134</v>
      </c>
      <c r="N42" s="181">
        <v>1.1432643546567131E-2</v>
      </c>
      <c r="O42" s="73">
        <f t="shared" si="5"/>
        <v>122901.34159071364</v>
      </c>
      <c r="P42" s="181">
        <v>0</v>
      </c>
      <c r="Q42" s="73">
        <f t="shared" si="6"/>
        <v>0</v>
      </c>
      <c r="R42" s="181">
        <v>0</v>
      </c>
      <c r="S42" s="73">
        <f t="shared" si="7"/>
        <v>0</v>
      </c>
      <c r="T42" s="181">
        <v>0</v>
      </c>
      <c r="U42" s="73">
        <f t="shared" si="8"/>
        <v>0</v>
      </c>
      <c r="V42" s="181">
        <v>0</v>
      </c>
      <c r="W42" s="73">
        <f t="shared" si="9"/>
        <v>0</v>
      </c>
      <c r="X42" s="181">
        <v>1.9802717383737476E-3</v>
      </c>
      <c r="Y42" s="73">
        <f t="shared" si="10"/>
        <v>674196.04844944621</v>
      </c>
      <c r="Z42" s="73">
        <v>1750000</v>
      </c>
      <c r="AA42" s="73">
        <f t="shared" si="11"/>
        <v>2424196.0484494464</v>
      </c>
      <c r="AB42" s="74">
        <f t="shared" si="12"/>
        <v>16655446.058711208</v>
      </c>
    </row>
    <row r="43" spans="1:28" ht="14">
      <c r="A43" s="37" t="s">
        <v>64</v>
      </c>
      <c r="B43" s="181">
        <v>3.87170788775432E-2</v>
      </c>
      <c r="C43" s="73">
        <f t="shared" ref="C43:E58" si="14">B43*C$67</f>
        <v>4250974.9420845117</v>
      </c>
      <c r="D43" s="181">
        <v>3.4746745857539799E-2</v>
      </c>
      <c r="E43" s="73">
        <f t="shared" si="14"/>
        <v>796954.10485080152</v>
      </c>
      <c r="F43" s="101">
        <v>8.040486200324598E-2</v>
      </c>
      <c r="G43" s="73">
        <f t="shared" si="1"/>
        <v>402565891.87249923</v>
      </c>
      <c r="H43" s="181">
        <v>4.0435154138584548E-2</v>
      </c>
      <c r="I43" s="73">
        <f t="shared" si="2"/>
        <v>936009.89315999998</v>
      </c>
      <c r="J43" s="181">
        <v>2.7761775583581769E-2</v>
      </c>
      <c r="K43" s="73">
        <f t="shared" si="3"/>
        <v>7408711.3719037743</v>
      </c>
      <c r="L43" s="181">
        <v>6.1351651496623439E-3</v>
      </c>
      <c r="M43" s="73">
        <f t="shared" si="4"/>
        <v>3932991.2479165024</v>
      </c>
      <c r="N43" s="181">
        <v>1.1345968375056279E-2</v>
      </c>
      <c r="O43" s="73">
        <f t="shared" si="5"/>
        <v>121969.58028652362</v>
      </c>
      <c r="P43" s="181">
        <v>0</v>
      </c>
      <c r="Q43" s="73">
        <f t="shared" si="6"/>
        <v>0</v>
      </c>
      <c r="R43" s="181">
        <v>0</v>
      </c>
      <c r="S43" s="73">
        <f t="shared" si="7"/>
        <v>0</v>
      </c>
      <c r="T43" s="181">
        <v>7.0630846897513783E-2</v>
      </c>
      <c r="U43" s="73">
        <f t="shared" si="8"/>
        <v>173152065.37993035</v>
      </c>
      <c r="V43" s="181">
        <v>0</v>
      </c>
      <c r="W43" s="73">
        <f t="shared" si="9"/>
        <v>0</v>
      </c>
      <c r="X43" s="181">
        <v>4.5934029447025619E-2</v>
      </c>
      <c r="Y43" s="73">
        <f t="shared" si="10"/>
        <v>15638531.087646272</v>
      </c>
      <c r="Z43" s="73">
        <v>1750000</v>
      </c>
      <c r="AA43" s="73">
        <f t="shared" si="11"/>
        <v>17388531.087646272</v>
      </c>
      <c r="AB43" s="74">
        <f t="shared" si="12"/>
        <v>610554099.4802779</v>
      </c>
    </row>
    <row r="44" spans="1:28" ht="14">
      <c r="A44" s="37" t="s">
        <v>65</v>
      </c>
      <c r="B44" s="181">
        <v>4.0000007882070787E-3</v>
      </c>
      <c r="C44" s="73">
        <f t="shared" si="14"/>
        <v>439183.52344627021</v>
      </c>
      <c r="D44" s="181">
        <v>4.9997117070213551E-3</v>
      </c>
      <c r="E44" s="73">
        <f t="shared" si="14"/>
        <v>114673.78223899663</v>
      </c>
      <c r="F44" s="101">
        <v>4.9372563778402158E-3</v>
      </c>
      <c r="G44" s="73">
        <f t="shared" si="1"/>
        <v>24719537.694974124</v>
      </c>
      <c r="H44" s="181">
        <v>0</v>
      </c>
      <c r="I44" s="73">
        <f t="shared" si="2"/>
        <v>0</v>
      </c>
      <c r="J44" s="181">
        <v>6.6862216586964091E-3</v>
      </c>
      <c r="K44" s="73">
        <f t="shared" si="3"/>
        <v>1784334.2292252018</v>
      </c>
      <c r="L44" s="181">
        <v>1.6648017346324252E-2</v>
      </c>
      <c r="M44" s="73">
        <f t="shared" si="4"/>
        <v>10672329.908162126</v>
      </c>
      <c r="N44" s="181">
        <v>1.3417128125593831E-2</v>
      </c>
      <c r="O44" s="73">
        <f t="shared" si="5"/>
        <v>144234.62432055947</v>
      </c>
      <c r="P44" s="181">
        <v>0</v>
      </c>
      <c r="Q44" s="73">
        <f t="shared" si="6"/>
        <v>0</v>
      </c>
      <c r="R44" s="181">
        <v>2.4074000000000002E-2</v>
      </c>
      <c r="S44" s="73">
        <f t="shared" si="7"/>
        <v>722220</v>
      </c>
      <c r="T44" s="181">
        <v>1.8145953140976613E-3</v>
      </c>
      <c r="U44" s="73">
        <f t="shared" si="8"/>
        <v>4448494.3939673109</v>
      </c>
      <c r="V44" s="181">
        <v>0</v>
      </c>
      <c r="W44" s="73">
        <f t="shared" si="9"/>
        <v>0</v>
      </c>
      <c r="X44" s="181">
        <v>4.6435670553755552E-3</v>
      </c>
      <c r="Y44" s="73">
        <f t="shared" si="10"/>
        <v>1580931.7977820684</v>
      </c>
      <c r="Z44" s="73">
        <v>1750000</v>
      </c>
      <c r="AA44" s="73">
        <f t="shared" si="11"/>
        <v>3330931.7977820681</v>
      </c>
      <c r="AB44" s="74">
        <f t="shared" si="12"/>
        <v>46375939.954116657</v>
      </c>
    </row>
    <row r="45" spans="1:28" ht="14">
      <c r="A45" s="37" t="s">
        <v>66</v>
      </c>
      <c r="B45" s="181">
        <v>7.3115768224293026E-2</v>
      </c>
      <c r="C45" s="73">
        <f t="shared" si="14"/>
        <v>8027808.5951625733</v>
      </c>
      <c r="D45" s="181">
        <v>6.8629442085214168E-2</v>
      </c>
      <c r="E45" s="73">
        <f t="shared" si="14"/>
        <v>1574090.2992089391</v>
      </c>
      <c r="F45" s="101">
        <v>0.13380971818701351</v>
      </c>
      <c r="G45" s="73">
        <f t="shared" si="1"/>
        <v>669949891.10221016</v>
      </c>
      <c r="H45" s="181">
        <v>0.10522978928599463</v>
      </c>
      <c r="I45" s="73">
        <f t="shared" si="2"/>
        <v>2435903.2610399998</v>
      </c>
      <c r="J45" s="181">
        <v>6.0978062188037807E-2</v>
      </c>
      <c r="K45" s="73">
        <f t="shared" si="3"/>
        <v>16273053.624003286</v>
      </c>
      <c r="L45" s="181">
        <v>3.3164713848356689E-2</v>
      </c>
      <c r="M45" s="73">
        <f t="shared" si="4"/>
        <v>21260475.65523494</v>
      </c>
      <c r="N45" s="181">
        <v>3.185218340880825E-2</v>
      </c>
      <c r="O45" s="73">
        <f t="shared" si="5"/>
        <v>342412.15144956217</v>
      </c>
      <c r="P45" s="181">
        <v>0.01</v>
      </c>
      <c r="Q45" s="73">
        <f t="shared" si="6"/>
        <v>200000</v>
      </c>
      <c r="R45" s="181">
        <v>2.2762400000000001E-3</v>
      </c>
      <c r="S45" s="73">
        <f t="shared" si="7"/>
        <v>68287.199999999997</v>
      </c>
      <c r="T45" s="181">
        <v>0.2894780332818534</v>
      </c>
      <c r="U45" s="73">
        <f t="shared" si="8"/>
        <v>709657629.0187099</v>
      </c>
      <c r="V45" s="181">
        <v>0.11208081801001353</v>
      </c>
      <c r="W45" s="73">
        <f t="shared" si="9"/>
        <v>8144419.3287843475</v>
      </c>
      <c r="X45" s="181">
        <v>9.0795984923444178E-2</v>
      </c>
      <c r="Y45" s="73">
        <f t="shared" si="10"/>
        <v>30912067.805771135</v>
      </c>
      <c r="Z45" s="73">
        <v>1750000</v>
      </c>
      <c r="AA45" s="73">
        <f t="shared" si="11"/>
        <v>32662067.805771135</v>
      </c>
      <c r="AB45" s="74">
        <f t="shared" si="12"/>
        <v>1470596038.041575</v>
      </c>
    </row>
    <row r="46" spans="1:28" ht="14">
      <c r="A46" s="37" t="s">
        <v>67</v>
      </c>
      <c r="B46" s="181">
        <v>1.9700860587946744E-2</v>
      </c>
      <c r="C46" s="73">
        <f t="shared" si="14"/>
        <v>2163072.9157472067</v>
      </c>
      <c r="D46" s="181">
        <v>2.2419809485698858E-2</v>
      </c>
      <c r="E46" s="73">
        <f t="shared" si="14"/>
        <v>514222.51950893149</v>
      </c>
      <c r="F46" s="101">
        <v>1.3843632668295157E-2</v>
      </c>
      <c r="G46" s="73">
        <f t="shared" si="1"/>
        <v>69311409.696126625</v>
      </c>
      <c r="H46" s="181">
        <v>1.5244345261458065E-2</v>
      </c>
      <c r="I46" s="73">
        <f t="shared" si="2"/>
        <v>352882.49255999998</v>
      </c>
      <c r="J46" s="181">
        <v>2.8043783184064711E-2</v>
      </c>
      <c r="K46" s="73">
        <f t="shared" si="3"/>
        <v>7483969.9918134054</v>
      </c>
      <c r="L46" s="181">
        <v>4.2778040334659893E-2</v>
      </c>
      <c r="M46" s="73">
        <f t="shared" si="4"/>
        <v>27423166.962098174</v>
      </c>
      <c r="N46" s="181">
        <v>3.9071094649946778E-2</v>
      </c>
      <c r="O46" s="73">
        <f t="shared" si="5"/>
        <v>420015.71468027373</v>
      </c>
      <c r="P46" s="181">
        <v>7.2499999999999995E-2</v>
      </c>
      <c r="Q46" s="73">
        <f t="shared" si="6"/>
        <v>1450000</v>
      </c>
      <c r="R46" s="181">
        <v>2.251676E-2</v>
      </c>
      <c r="S46" s="73">
        <f t="shared" si="7"/>
        <v>675502.8</v>
      </c>
      <c r="T46" s="181">
        <v>2.7376326272431062E-4</v>
      </c>
      <c r="U46" s="73">
        <f t="shared" si="8"/>
        <v>671132.74791458668</v>
      </c>
      <c r="V46" s="181">
        <v>5.9437333675046427E-3</v>
      </c>
      <c r="W46" s="73">
        <f t="shared" si="9"/>
        <v>431904.92167107842</v>
      </c>
      <c r="X46" s="181">
        <v>1.9061456754146635E-2</v>
      </c>
      <c r="Y46" s="73">
        <f t="shared" si="10"/>
        <v>6489593.6109704757</v>
      </c>
      <c r="Z46" s="73">
        <v>1750000</v>
      </c>
      <c r="AA46" s="73">
        <f t="shared" si="11"/>
        <v>8239593.6109704757</v>
      </c>
      <c r="AB46" s="74">
        <f t="shared" si="12"/>
        <v>119136874.37309074</v>
      </c>
    </row>
    <row r="47" spans="1:28" ht="14">
      <c r="A47" s="37" t="s">
        <v>68</v>
      </c>
      <c r="B47" s="181">
        <v>4.0000007882070787E-3</v>
      </c>
      <c r="C47" s="73">
        <f t="shared" si="14"/>
        <v>439183.52344627021</v>
      </c>
      <c r="D47" s="181">
        <v>4.9997117070213551E-3</v>
      </c>
      <c r="E47" s="73">
        <f t="shared" si="14"/>
        <v>114673.78223899663</v>
      </c>
      <c r="F47" s="101">
        <v>1.0267993926112034E-3</v>
      </c>
      <c r="G47" s="73">
        <f t="shared" si="1"/>
        <v>5140913.1607486913</v>
      </c>
      <c r="H47" s="181">
        <v>0</v>
      </c>
      <c r="I47" s="73">
        <f t="shared" si="2"/>
        <v>0</v>
      </c>
      <c r="J47" s="181">
        <v>2.2427657769866168E-3</v>
      </c>
      <c r="K47" s="73">
        <f t="shared" si="3"/>
        <v>598520.95073861221</v>
      </c>
      <c r="L47" s="181">
        <v>8.2667303465522625E-3</v>
      </c>
      <c r="M47" s="73">
        <f t="shared" si="4"/>
        <v>5299446.2754870085</v>
      </c>
      <c r="N47" s="181">
        <v>9.2137591558893468E-3</v>
      </c>
      <c r="O47" s="73">
        <f t="shared" si="5"/>
        <v>99048.252203449621</v>
      </c>
      <c r="P47" s="181">
        <v>0</v>
      </c>
      <c r="Q47" s="73">
        <f t="shared" si="6"/>
        <v>0</v>
      </c>
      <c r="R47" s="181">
        <v>2.9132999999999999E-2</v>
      </c>
      <c r="S47" s="73">
        <f t="shared" si="7"/>
        <v>873990</v>
      </c>
      <c r="T47" s="181">
        <v>0</v>
      </c>
      <c r="U47" s="73">
        <f t="shared" si="8"/>
        <v>0</v>
      </c>
      <c r="V47" s="181">
        <v>0</v>
      </c>
      <c r="W47" s="73">
        <f t="shared" si="9"/>
        <v>0</v>
      </c>
      <c r="X47" s="181">
        <v>1.2878967706320727E-3</v>
      </c>
      <c r="Y47" s="73">
        <f t="shared" si="10"/>
        <v>438472.60794824723</v>
      </c>
      <c r="Z47" s="73">
        <v>1750000</v>
      </c>
      <c r="AA47" s="73">
        <f t="shared" si="11"/>
        <v>2188472.6079482473</v>
      </c>
      <c r="AB47" s="74">
        <f t="shared" si="12"/>
        <v>14754248.552811276</v>
      </c>
    </row>
    <row r="48" spans="1:28" ht="14">
      <c r="A48" s="37" t="s">
        <v>124</v>
      </c>
      <c r="B48" s="181">
        <v>3.2451967997779205E-2</v>
      </c>
      <c r="C48" s="73">
        <f t="shared" si="14"/>
        <v>3563091.7098940415</v>
      </c>
      <c r="D48" s="181">
        <v>3.2282222807392222E-2</v>
      </c>
      <c r="E48" s="73">
        <f t="shared" si="14"/>
        <v>740427.60969734727</v>
      </c>
      <c r="F48" s="101">
        <v>2.1138097538174794E-2</v>
      </c>
      <c r="G48" s="73">
        <f t="shared" si="1"/>
        <v>105832867.26615718</v>
      </c>
      <c r="H48" s="181">
        <v>2.4723313110470657E-2</v>
      </c>
      <c r="I48" s="73">
        <f t="shared" si="2"/>
        <v>572305.61268000002</v>
      </c>
      <c r="J48" s="181">
        <v>3.8481342521327157E-2</v>
      </c>
      <c r="K48" s="73">
        <f t="shared" si="3"/>
        <v>10269413.751492407</v>
      </c>
      <c r="L48" s="181">
        <v>3.6832709799323467E-2</v>
      </c>
      <c r="M48" s="73">
        <f t="shared" si="4"/>
        <v>23611870.543657701</v>
      </c>
      <c r="N48" s="181">
        <v>3.6767230906331182E-2</v>
      </c>
      <c r="O48" s="73">
        <f t="shared" si="5"/>
        <v>395249.09410129301</v>
      </c>
      <c r="P48" s="181">
        <v>4.82E-2</v>
      </c>
      <c r="Q48" s="73">
        <f t="shared" si="6"/>
        <v>964000</v>
      </c>
      <c r="R48" s="181">
        <v>0</v>
      </c>
      <c r="S48" s="73">
        <f t="shared" si="7"/>
        <v>0</v>
      </c>
      <c r="T48" s="181">
        <v>1.0717561910671814E-2</v>
      </c>
      <c r="U48" s="73">
        <f t="shared" si="8"/>
        <v>26274185.602826469</v>
      </c>
      <c r="V48" s="181">
        <v>4.0460422987932693E-3</v>
      </c>
      <c r="W48" s="73">
        <f t="shared" si="9"/>
        <v>294008.07103698066</v>
      </c>
      <c r="X48" s="181">
        <v>2.7195023636875332E-2</v>
      </c>
      <c r="Y48" s="73">
        <f t="shared" si="10"/>
        <v>9258717.9416738283</v>
      </c>
      <c r="Z48" s="73">
        <v>1750000</v>
      </c>
      <c r="AA48" s="73">
        <f t="shared" si="11"/>
        <v>11008717.941673828</v>
      </c>
      <c r="AB48" s="74">
        <f t="shared" si="12"/>
        <v>183526137.20321724</v>
      </c>
    </row>
    <row r="49" spans="1:28" ht="14">
      <c r="A49" s="37" t="s">
        <v>69</v>
      </c>
      <c r="B49" s="181">
        <v>5.8878505751551744E-3</v>
      </c>
      <c r="C49" s="73">
        <f t="shared" si="14"/>
        <v>646461.61289404472</v>
      </c>
      <c r="D49" s="181">
        <v>7.3589128862422094E-3</v>
      </c>
      <c r="E49" s="73">
        <f t="shared" si="14"/>
        <v>168784.60664993717</v>
      </c>
      <c r="F49" s="101">
        <v>3.6659918376572278E-3</v>
      </c>
      <c r="G49" s="73">
        <f t="shared" si="1"/>
        <v>18354652.156037599</v>
      </c>
      <c r="H49" s="181">
        <v>0</v>
      </c>
      <c r="I49" s="73">
        <f t="shared" si="2"/>
        <v>0</v>
      </c>
      <c r="J49" s="181">
        <v>1.1242656138652208E-2</v>
      </c>
      <c r="K49" s="73">
        <f t="shared" si="3"/>
        <v>3000297.806387282</v>
      </c>
      <c r="L49" s="181">
        <v>2.3808681391731416E-2</v>
      </c>
      <c r="M49" s="73">
        <f t="shared" si="4"/>
        <v>15262724.515780265</v>
      </c>
      <c r="N49" s="181">
        <v>2.16972449448826E-2</v>
      </c>
      <c r="O49" s="73">
        <f t="shared" si="5"/>
        <v>233246.18682344074</v>
      </c>
      <c r="P49" s="181">
        <v>0</v>
      </c>
      <c r="Q49" s="73">
        <f t="shared" si="6"/>
        <v>0</v>
      </c>
      <c r="R49" s="181">
        <v>0.31196952</v>
      </c>
      <c r="S49" s="73">
        <f t="shared" si="7"/>
        <v>9359085.5999999996</v>
      </c>
      <c r="T49" s="181">
        <v>0</v>
      </c>
      <c r="U49" s="73">
        <f t="shared" si="8"/>
        <v>0</v>
      </c>
      <c r="V49" s="181">
        <v>0</v>
      </c>
      <c r="W49" s="73">
        <f t="shared" si="9"/>
        <v>0</v>
      </c>
      <c r="X49" s="181">
        <v>5.0724698866904038E-3</v>
      </c>
      <c r="Y49" s="73">
        <f t="shared" si="10"/>
        <v>1726954.4816581307</v>
      </c>
      <c r="Z49" s="73">
        <v>1750000</v>
      </c>
      <c r="AA49" s="73">
        <f t="shared" si="11"/>
        <v>3476954.4816581309</v>
      </c>
      <c r="AB49" s="74">
        <f t="shared" si="12"/>
        <v>50502206.966230705</v>
      </c>
    </row>
    <row r="50" spans="1:28" ht="14">
      <c r="A50" s="37" t="s">
        <v>70</v>
      </c>
      <c r="B50" s="181">
        <v>1.0430034615709027E-2</v>
      </c>
      <c r="C50" s="73">
        <f t="shared" si="14"/>
        <v>1145174.6123897298</v>
      </c>
      <c r="D50" s="181">
        <v>1.0254456854500563E-2</v>
      </c>
      <c r="E50" s="73">
        <f t="shared" si="14"/>
        <v>235197.03159299804</v>
      </c>
      <c r="F50" s="101">
        <v>1.0777202870270737E-2</v>
      </c>
      <c r="G50" s="73">
        <f t="shared" si="1"/>
        <v>53958606.199538648</v>
      </c>
      <c r="H50" s="181">
        <v>3.2379666490978211E-2</v>
      </c>
      <c r="I50" s="73">
        <f t="shared" si="2"/>
        <v>749538.08927999996</v>
      </c>
      <c r="J50" s="181">
        <v>1.279385912845867E-2</v>
      </c>
      <c r="K50" s="73">
        <f t="shared" si="3"/>
        <v>3414263.2314772699</v>
      </c>
      <c r="L50" s="181">
        <v>1.9314675082438278E-2</v>
      </c>
      <c r="M50" s="73">
        <f t="shared" si="4"/>
        <v>12381809.813181881</v>
      </c>
      <c r="N50" s="181">
        <v>1.713266661912094E-2</v>
      </c>
      <c r="O50" s="73">
        <f t="shared" si="5"/>
        <v>184176.8007495217</v>
      </c>
      <c r="P50" s="181">
        <v>0</v>
      </c>
      <c r="Q50" s="73">
        <f t="shared" si="6"/>
        <v>0</v>
      </c>
      <c r="R50" s="181">
        <v>3.0270160000000001E-2</v>
      </c>
      <c r="S50" s="73">
        <f t="shared" si="7"/>
        <v>908104.8</v>
      </c>
      <c r="T50" s="181">
        <v>8.4984352992122439E-3</v>
      </c>
      <c r="U50" s="73">
        <f t="shared" si="8"/>
        <v>20833979.616462793</v>
      </c>
      <c r="V50" s="181">
        <v>1.5550890752874839E-3</v>
      </c>
      <c r="W50" s="73">
        <f t="shared" si="9"/>
        <v>113001.47293376479</v>
      </c>
      <c r="X50" s="181">
        <v>1.296888142561676E-2</v>
      </c>
      <c r="Y50" s="73">
        <f t="shared" si="10"/>
        <v>4415337.7743706498</v>
      </c>
      <c r="Z50" s="73">
        <v>1750000</v>
      </c>
      <c r="AA50" s="73">
        <f t="shared" si="11"/>
        <v>6165337.7743706498</v>
      </c>
      <c r="AB50" s="74">
        <f t="shared" si="12"/>
        <v>100089189.44197728</v>
      </c>
    </row>
    <row r="51" spans="1:28" ht="14">
      <c r="A51" s="37" t="s">
        <v>71</v>
      </c>
      <c r="B51" s="181">
        <v>3.8979420466804568E-2</v>
      </c>
      <c r="C51" s="73">
        <f t="shared" si="14"/>
        <v>4279778.9622882036</v>
      </c>
      <c r="D51" s="181">
        <v>3.8464088493766736E-2</v>
      </c>
      <c r="E51" s="73">
        <f t="shared" si="14"/>
        <v>882215.36889044126</v>
      </c>
      <c r="F51" s="101">
        <v>3.6935835631985312E-2</v>
      </c>
      <c r="G51" s="73">
        <f t="shared" si="1"/>
        <v>184927966.32927412</v>
      </c>
      <c r="H51" s="181">
        <v>6.4499882251354113E-2</v>
      </c>
      <c r="I51" s="73">
        <f t="shared" si="2"/>
        <v>1493070.3043200001</v>
      </c>
      <c r="J51" s="181">
        <v>4.6055740334290184E-2</v>
      </c>
      <c r="K51" s="73">
        <f t="shared" si="3"/>
        <v>12290773.193840519</v>
      </c>
      <c r="L51" s="181">
        <v>3.4772701679614118E-2</v>
      </c>
      <c r="M51" s="73">
        <f t="shared" si="4"/>
        <v>22291287.689274441</v>
      </c>
      <c r="N51" s="181">
        <v>3.4646232932174885E-2</v>
      </c>
      <c r="O51" s="73">
        <f t="shared" si="5"/>
        <v>372448.28731734783</v>
      </c>
      <c r="P51" s="181">
        <v>0.2394</v>
      </c>
      <c r="Q51" s="73">
        <f t="shared" si="6"/>
        <v>4788000</v>
      </c>
      <c r="R51" s="181">
        <v>0</v>
      </c>
      <c r="S51" s="73">
        <f t="shared" si="7"/>
        <v>0</v>
      </c>
      <c r="T51" s="181">
        <v>7.1353615507044804E-2</v>
      </c>
      <c r="U51" s="73">
        <f t="shared" si="8"/>
        <v>174923938.19512779</v>
      </c>
      <c r="V51" s="181">
        <v>4.1585074273887308E-3</v>
      </c>
      <c r="W51" s="73">
        <f t="shared" si="9"/>
        <v>302180.41652312136</v>
      </c>
      <c r="X51" s="181">
        <v>3.7109496836069823E-2</v>
      </c>
      <c r="Y51" s="73">
        <f t="shared" si="10"/>
        <v>12634163.100954944</v>
      </c>
      <c r="Z51" s="73">
        <v>1750000</v>
      </c>
      <c r="AA51" s="73">
        <f t="shared" si="11"/>
        <v>14384163.100954944</v>
      </c>
      <c r="AB51" s="74">
        <f t="shared" si="12"/>
        <v>420935821.84781086</v>
      </c>
    </row>
    <row r="52" spans="1:28" ht="14">
      <c r="A52" s="37" t="s">
        <v>72</v>
      </c>
      <c r="B52" s="181">
        <v>1.4794637478182498E-2</v>
      </c>
      <c r="C52" s="73">
        <f t="shared" si="14"/>
        <v>1624389.9338556968</v>
      </c>
      <c r="D52" s="181">
        <v>1.4481429894764116E-2</v>
      </c>
      <c r="E52" s="73">
        <f t="shared" si="14"/>
        <v>332147.21879450616</v>
      </c>
      <c r="F52" s="101">
        <v>9.6837927005882368E-3</v>
      </c>
      <c r="G52" s="73">
        <f t="shared" si="1"/>
        <v>48484190.484193891</v>
      </c>
      <c r="H52" s="181">
        <v>1.3559036928218183E-2</v>
      </c>
      <c r="I52" s="73">
        <f t="shared" si="2"/>
        <v>313870.26900000003</v>
      </c>
      <c r="J52" s="181">
        <v>1.9780960878317249E-2</v>
      </c>
      <c r="K52" s="73">
        <f t="shared" si="3"/>
        <v>5278892.5321132112</v>
      </c>
      <c r="L52" s="181">
        <v>3.1230813131054675E-3</v>
      </c>
      <c r="M52" s="73">
        <f t="shared" si="4"/>
        <v>2002073.4847946831</v>
      </c>
      <c r="N52" s="181">
        <v>8.7718099933269539E-3</v>
      </c>
      <c r="O52" s="73">
        <f t="shared" si="5"/>
        <v>94297.282336106917</v>
      </c>
      <c r="P52" s="181">
        <v>0</v>
      </c>
      <c r="Q52" s="73">
        <f t="shared" si="6"/>
        <v>0</v>
      </c>
      <c r="R52" s="181">
        <v>0</v>
      </c>
      <c r="S52" s="73">
        <f t="shared" si="7"/>
        <v>0</v>
      </c>
      <c r="T52" s="181">
        <v>3.0577604209948506E-3</v>
      </c>
      <c r="U52" s="73">
        <f t="shared" si="8"/>
        <v>7496123.232112919</v>
      </c>
      <c r="V52" s="181">
        <v>0</v>
      </c>
      <c r="W52" s="73">
        <f t="shared" si="9"/>
        <v>0</v>
      </c>
      <c r="X52" s="181">
        <v>1.2562863940127837E-2</v>
      </c>
      <c r="Y52" s="73">
        <f t="shared" si="10"/>
        <v>4277106.5513452636</v>
      </c>
      <c r="Z52" s="73">
        <v>500000</v>
      </c>
      <c r="AA52" s="73">
        <f t="shared" si="11"/>
        <v>4777106.5513452636</v>
      </c>
      <c r="AB52" s="74">
        <f t="shared" si="12"/>
        <v>70403090.988546282</v>
      </c>
    </row>
    <row r="53" spans="1:28" ht="14">
      <c r="A53" s="37" t="s">
        <v>125</v>
      </c>
      <c r="B53" s="181">
        <v>4.7936502488168005E-3</v>
      </c>
      <c r="C53" s="73">
        <f t="shared" si="14"/>
        <v>526322.94789824483</v>
      </c>
      <c r="D53" s="181">
        <v>4.9997117070213551E-3</v>
      </c>
      <c r="E53" s="73">
        <f t="shared" si="14"/>
        <v>114673.78223899663</v>
      </c>
      <c r="F53" s="101">
        <v>5.6723988372702119E-3</v>
      </c>
      <c r="G53" s="73">
        <f t="shared" si="1"/>
        <v>28400201.68046584</v>
      </c>
      <c r="H53" s="181">
        <v>0</v>
      </c>
      <c r="I53" s="73">
        <f t="shared" si="2"/>
        <v>0</v>
      </c>
      <c r="J53" s="181">
        <v>3.7471662327974663E-3</v>
      </c>
      <c r="K53" s="73">
        <f t="shared" si="3"/>
        <v>999996.30779230793</v>
      </c>
      <c r="L53" s="181">
        <v>1.2703851277863928E-3</v>
      </c>
      <c r="M53" s="73">
        <f t="shared" si="4"/>
        <v>814389.42020039249</v>
      </c>
      <c r="N53" s="181">
        <v>6.8931256508292602E-3</v>
      </c>
      <c r="O53" s="73">
        <f t="shared" si="5"/>
        <v>74101.356067788656</v>
      </c>
      <c r="P53" s="181">
        <v>0</v>
      </c>
      <c r="Q53" s="73">
        <f t="shared" si="6"/>
        <v>0</v>
      </c>
      <c r="R53" s="181">
        <v>0</v>
      </c>
      <c r="S53" s="73">
        <f t="shared" si="7"/>
        <v>0</v>
      </c>
      <c r="T53" s="181">
        <v>1.771381067032255E-3</v>
      </c>
      <c r="U53" s="73">
        <f t="shared" si="8"/>
        <v>4342554.3343206942</v>
      </c>
      <c r="V53" s="181">
        <v>0</v>
      </c>
      <c r="W53" s="73">
        <f t="shared" si="9"/>
        <v>0</v>
      </c>
      <c r="X53" s="181">
        <v>3.5305794028591148E-3</v>
      </c>
      <c r="Y53" s="73">
        <f t="shared" si="10"/>
        <v>1202008.1062710057</v>
      </c>
      <c r="Z53" s="73">
        <v>1750000</v>
      </c>
      <c r="AA53" s="73">
        <f t="shared" si="11"/>
        <v>2952008.1062710057</v>
      </c>
      <c r="AB53" s="74">
        <f t="shared" si="12"/>
        <v>38224247.935255267</v>
      </c>
    </row>
    <row r="54" spans="1:28" ht="14">
      <c r="A54" s="37" t="s">
        <v>73</v>
      </c>
      <c r="B54" s="181">
        <v>8.9473889509826127E-3</v>
      </c>
      <c r="C54" s="73">
        <f t="shared" si="14"/>
        <v>982386.25770324224</v>
      </c>
      <c r="D54" s="181">
        <v>1.1054169792386718E-2</v>
      </c>
      <c r="E54" s="73">
        <f t="shared" si="14"/>
        <v>253539.31064162351</v>
      </c>
      <c r="F54" s="101">
        <v>5.0977355382187889E-3</v>
      </c>
      <c r="G54" s="73">
        <f t="shared" si="1"/>
        <v>25523014.434006918</v>
      </c>
      <c r="H54" s="181">
        <v>0</v>
      </c>
      <c r="I54" s="73">
        <f t="shared" si="2"/>
        <v>0</v>
      </c>
      <c r="J54" s="181">
        <v>1.5477248429854608E-2</v>
      </c>
      <c r="K54" s="73">
        <f t="shared" si="3"/>
        <v>4130372.2127866014</v>
      </c>
      <c r="L54" s="181">
        <v>2.0694859436017555E-2</v>
      </c>
      <c r="M54" s="73">
        <f t="shared" si="4"/>
        <v>13266586.807887124</v>
      </c>
      <c r="N54" s="181">
        <v>2.1785521722823543E-2</v>
      </c>
      <c r="O54" s="73">
        <f t="shared" si="5"/>
        <v>234195.16545607772</v>
      </c>
      <c r="P54" s="181">
        <v>0.01</v>
      </c>
      <c r="Q54" s="73">
        <f t="shared" si="6"/>
        <v>200000</v>
      </c>
      <c r="R54" s="181">
        <v>3.9773200000000003E-3</v>
      </c>
      <c r="S54" s="73">
        <f t="shared" si="7"/>
        <v>119319.6</v>
      </c>
      <c r="T54" s="181">
        <v>0</v>
      </c>
      <c r="U54" s="73">
        <f t="shared" si="8"/>
        <v>0</v>
      </c>
      <c r="V54" s="181">
        <v>0</v>
      </c>
      <c r="W54" s="73">
        <f t="shared" si="9"/>
        <v>0</v>
      </c>
      <c r="X54" s="181">
        <v>6.932355101314857E-3</v>
      </c>
      <c r="Y54" s="73">
        <f t="shared" si="10"/>
        <v>2360164.1760504344</v>
      </c>
      <c r="Z54" s="73">
        <v>1750000</v>
      </c>
      <c r="AA54" s="73">
        <f t="shared" si="11"/>
        <v>4110164.1760504344</v>
      </c>
      <c r="AB54" s="74">
        <f t="shared" si="12"/>
        <v>48819577.964532018</v>
      </c>
    </row>
    <row r="55" spans="1:28" ht="14">
      <c r="A55" s="37" t="s">
        <v>74</v>
      </c>
      <c r="B55" s="181">
        <v>4.0000007882070787E-3</v>
      </c>
      <c r="C55" s="73">
        <f t="shared" si="14"/>
        <v>439183.52344627021</v>
      </c>
      <c r="D55" s="181">
        <v>4.9997117070213551E-3</v>
      </c>
      <c r="E55" s="73">
        <f t="shared" si="14"/>
        <v>114673.78223899663</v>
      </c>
      <c r="F55" s="101">
        <v>8.1365029635590473E-4</v>
      </c>
      <c r="G55" s="73">
        <f t="shared" si="1"/>
        <v>4073731.974213386</v>
      </c>
      <c r="H55" s="181">
        <v>0</v>
      </c>
      <c r="I55" s="73">
        <f t="shared" si="2"/>
        <v>0</v>
      </c>
      <c r="J55" s="181">
        <v>2.5060678999821845E-3</v>
      </c>
      <c r="K55" s="73">
        <f t="shared" si="3"/>
        <v>668787.68951440312</v>
      </c>
      <c r="L55" s="181">
        <v>1.0332246215349243E-2</v>
      </c>
      <c r="M55" s="73">
        <f t="shared" si="4"/>
        <v>6623559.9115899047</v>
      </c>
      <c r="N55" s="181">
        <v>1.0493065844960918E-2</v>
      </c>
      <c r="O55" s="73">
        <f t="shared" si="5"/>
        <v>112800.84649648878</v>
      </c>
      <c r="P55" s="181">
        <v>0</v>
      </c>
      <c r="Q55" s="73">
        <f t="shared" si="6"/>
        <v>0</v>
      </c>
      <c r="R55" s="181">
        <v>9.0322479999999997E-2</v>
      </c>
      <c r="S55" s="73">
        <f t="shared" si="7"/>
        <v>2709674.4</v>
      </c>
      <c r="T55" s="181">
        <v>0</v>
      </c>
      <c r="U55" s="73">
        <f t="shared" si="8"/>
        <v>0</v>
      </c>
      <c r="V55" s="181">
        <v>0</v>
      </c>
      <c r="W55" s="73">
        <f t="shared" si="9"/>
        <v>0</v>
      </c>
      <c r="X55" s="181">
        <v>1.130513386696108E-3</v>
      </c>
      <c r="Y55" s="73">
        <f t="shared" si="10"/>
        <v>384890.43865042774</v>
      </c>
      <c r="Z55" s="73">
        <v>1750000</v>
      </c>
      <c r="AA55" s="73">
        <f t="shared" si="11"/>
        <v>2134890.4386504279</v>
      </c>
      <c r="AB55" s="74">
        <f t="shared" si="12"/>
        <v>16877302.566149879</v>
      </c>
    </row>
    <row r="56" spans="1:28" ht="14">
      <c r="A56" s="37" t="s">
        <v>75</v>
      </c>
      <c r="B56" s="181">
        <v>1.3160299484534151E-2</v>
      </c>
      <c r="C56" s="73">
        <f t="shared" si="14"/>
        <v>1444946.3895772174</v>
      </c>
      <c r="D56" s="181">
        <v>1.4784519439610825E-2</v>
      </c>
      <c r="E56" s="73">
        <f t="shared" si="14"/>
        <v>339098.90451187623</v>
      </c>
      <c r="F56" s="101">
        <v>1.020282767358582E-2</v>
      </c>
      <c r="G56" s="73">
        <f t="shared" si="1"/>
        <v>51082861.405479163</v>
      </c>
      <c r="H56" s="181">
        <v>1.3918697363551748E-2</v>
      </c>
      <c r="I56" s="73">
        <f t="shared" si="2"/>
        <v>322195.83948000002</v>
      </c>
      <c r="J56" s="181">
        <v>2.0853010788757006E-2</v>
      </c>
      <c r="K56" s="73">
        <f t="shared" si="3"/>
        <v>5564987.6465561297</v>
      </c>
      <c r="L56" s="181">
        <v>2.9848702844074523E-2</v>
      </c>
      <c r="M56" s="73">
        <f t="shared" si="4"/>
        <v>19134723.21993915</v>
      </c>
      <c r="N56" s="181">
        <v>2.8294921315431393E-2</v>
      </c>
      <c r="O56" s="73">
        <f t="shared" si="5"/>
        <v>304171.45218477305</v>
      </c>
      <c r="P56" s="181">
        <v>5.5500000000000001E-2</v>
      </c>
      <c r="Q56" s="73">
        <f t="shared" si="6"/>
        <v>1110000</v>
      </c>
      <c r="R56" s="181">
        <v>0</v>
      </c>
      <c r="S56" s="73">
        <f t="shared" si="7"/>
        <v>0</v>
      </c>
      <c r="T56" s="181">
        <v>1.7721107705689037E-3</v>
      </c>
      <c r="U56" s="73">
        <f t="shared" si="8"/>
        <v>4344343.2081631543</v>
      </c>
      <c r="V56" s="181">
        <v>0</v>
      </c>
      <c r="W56" s="73">
        <f t="shared" si="9"/>
        <v>0</v>
      </c>
      <c r="X56" s="181">
        <v>1.1199918138255164E-2</v>
      </c>
      <c r="Y56" s="73">
        <f t="shared" si="10"/>
        <v>3813083.0256507858</v>
      </c>
      <c r="Z56" s="73">
        <v>1750000</v>
      </c>
      <c r="AA56" s="73">
        <f t="shared" si="11"/>
        <v>5563083.0256507862</v>
      </c>
      <c r="AB56" s="74">
        <f t="shared" si="12"/>
        <v>89210411.091542244</v>
      </c>
    </row>
    <row r="57" spans="1:28" ht="14">
      <c r="A57" s="37" t="s">
        <v>76</v>
      </c>
      <c r="B57" s="181">
        <v>8.464520157969084E-2</v>
      </c>
      <c r="C57" s="73">
        <f t="shared" si="14"/>
        <v>9293692.6368085239</v>
      </c>
      <c r="D57" s="181">
        <v>8.1182167946613287E-2</v>
      </c>
      <c r="E57" s="73">
        <f t="shared" si="14"/>
        <v>1862000.6101003417</v>
      </c>
      <c r="F57" s="101">
        <v>5.9032758787356532E-2</v>
      </c>
      <c r="G57" s="73">
        <f t="shared" si="1"/>
        <v>295561420.02913845</v>
      </c>
      <c r="H57" s="181">
        <v>4.1053682168369347E-2</v>
      </c>
      <c r="I57" s="73">
        <f t="shared" si="2"/>
        <v>950327.83919999993</v>
      </c>
      <c r="J57" s="181">
        <v>7.0103185255398048E-2</v>
      </c>
      <c r="K57" s="73">
        <f t="shared" si="3"/>
        <v>18708250.9994606</v>
      </c>
      <c r="L57" s="181">
        <v>6.6199436086053401E-2</v>
      </c>
      <c r="M57" s="73">
        <f t="shared" si="4"/>
        <v>42437619.264052771</v>
      </c>
      <c r="N57" s="181">
        <v>5.3581177845863845E-2</v>
      </c>
      <c r="O57" s="73">
        <f t="shared" si="5"/>
        <v>575999.64648986375</v>
      </c>
      <c r="P57" s="181">
        <v>0</v>
      </c>
      <c r="Q57" s="73">
        <f t="shared" si="6"/>
        <v>0</v>
      </c>
      <c r="R57" s="181">
        <v>0</v>
      </c>
      <c r="S57" s="73">
        <f t="shared" si="7"/>
        <v>0</v>
      </c>
      <c r="T57" s="181">
        <v>1.1054676648710803E-2</v>
      </c>
      <c r="U57" s="73">
        <f t="shared" si="8"/>
        <v>27100624.980598107</v>
      </c>
      <c r="V57" s="181">
        <v>3.6757548140581596E-2</v>
      </c>
      <c r="W57" s="73">
        <f t="shared" si="9"/>
        <v>2671009.106376505</v>
      </c>
      <c r="X57" s="181">
        <v>7.683320170728411E-2</v>
      </c>
      <c r="Y57" s="73">
        <f t="shared" si="10"/>
        <v>26158349.875411682</v>
      </c>
      <c r="Z57" s="73">
        <v>1750000</v>
      </c>
      <c r="AA57" s="73">
        <f t="shared" si="11"/>
        <v>27908349.875411682</v>
      </c>
      <c r="AB57" s="74">
        <f t="shared" si="12"/>
        <v>427069294.9876368</v>
      </c>
    </row>
    <row r="58" spans="1:28" ht="14">
      <c r="A58" s="37" t="s">
        <v>77</v>
      </c>
      <c r="B58" s="181">
        <v>9.2155201089031934E-3</v>
      </c>
      <c r="C58" s="73">
        <f t="shared" si="14"/>
        <v>1011825.9485724213</v>
      </c>
      <c r="D58" s="181">
        <v>9.6119628884660593E-3</v>
      </c>
      <c r="E58" s="73">
        <f t="shared" si="14"/>
        <v>220460.73928889557</v>
      </c>
      <c r="F58" s="101">
        <v>1.0087814220850267E-2</v>
      </c>
      <c r="G58" s="73">
        <f t="shared" si="1"/>
        <v>50507019.447365314</v>
      </c>
      <c r="H58" s="181">
        <v>2.106359548293766E-2</v>
      </c>
      <c r="I58" s="73">
        <f t="shared" si="2"/>
        <v>487588.93536</v>
      </c>
      <c r="J58" s="181">
        <v>6.5972929600770268E-3</v>
      </c>
      <c r="K58" s="73">
        <f t="shared" si="3"/>
        <v>1760602.0634360777</v>
      </c>
      <c r="L58" s="181">
        <v>1.0106569188067519E-2</v>
      </c>
      <c r="M58" s="73">
        <f t="shared" si="4"/>
        <v>6478888.0484040072</v>
      </c>
      <c r="N58" s="181">
        <v>1.010905715031067E-2</v>
      </c>
      <c r="O58" s="73">
        <f t="shared" si="5"/>
        <v>108672.73880531655</v>
      </c>
      <c r="P58" s="181">
        <v>0</v>
      </c>
      <c r="Q58" s="73">
        <f t="shared" si="6"/>
        <v>0</v>
      </c>
      <c r="R58" s="181">
        <v>3.6342000000000002E-3</v>
      </c>
      <c r="S58" s="73">
        <f t="shared" si="7"/>
        <v>109026</v>
      </c>
      <c r="T58" s="181">
        <v>3.2487005688795921E-3</v>
      </c>
      <c r="U58" s="73">
        <f t="shared" si="8"/>
        <v>7964214.4758462012</v>
      </c>
      <c r="V58" s="181">
        <v>3.8061049303757073E-3</v>
      </c>
      <c r="W58" s="73">
        <f t="shared" si="9"/>
        <v>276572.8793981843</v>
      </c>
      <c r="X58" s="181">
        <v>9.3430598603610297E-3</v>
      </c>
      <c r="Y58" s="73">
        <f t="shared" si="10"/>
        <v>3180903.8710288284</v>
      </c>
      <c r="Z58" s="73">
        <v>1750000</v>
      </c>
      <c r="AA58" s="73">
        <f t="shared" si="11"/>
        <v>4930903.8710288284</v>
      </c>
      <c r="AB58" s="74">
        <f t="shared" si="12"/>
        <v>73855775.147505239</v>
      </c>
    </row>
    <row r="59" spans="1:28" ht="14">
      <c r="A59" s="37" t="s">
        <v>126</v>
      </c>
      <c r="B59" s="181">
        <v>4.0000007882070787E-3</v>
      </c>
      <c r="C59" s="73">
        <f t="shared" ref="C59:E66" si="15">B59*C$67</f>
        <v>439183.52344627021</v>
      </c>
      <c r="D59" s="181">
        <v>4.9997117070213551E-3</v>
      </c>
      <c r="E59" s="73">
        <f t="shared" si="15"/>
        <v>114673.78223899663</v>
      </c>
      <c r="F59" s="101">
        <v>5.0389780054635198E-4</v>
      </c>
      <c r="G59" s="73">
        <f t="shared" si="1"/>
        <v>2522883.0997974188</v>
      </c>
      <c r="H59" s="181">
        <v>0</v>
      </c>
      <c r="I59" s="73">
        <f t="shared" si="2"/>
        <v>0</v>
      </c>
      <c r="J59" s="181">
        <v>1.7614259900149726E-3</v>
      </c>
      <c r="K59" s="73">
        <f t="shared" si="3"/>
        <v>470067.07923640381</v>
      </c>
      <c r="L59" s="181">
        <v>5.6046311379420672E-3</v>
      </c>
      <c r="M59" s="73">
        <f t="shared" si="4"/>
        <v>3592888.6469404362</v>
      </c>
      <c r="N59" s="181">
        <v>1.0082677750285627E-2</v>
      </c>
      <c r="O59" s="73">
        <f t="shared" si="5"/>
        <v>108389.15927795437</v>
      </c>
      <c r="P59" s="181">
        <v>0</v>
      </c>
      <c r="Q59" s="73">
        <f t="shared" si="6"/>
        <v>0</v>
      </c>
      <c r="R59" s="181">
        <v>0</v>
      </c>
      <c r="S59" s="73">
        <f t="shared" si="7"/>
        <v>0</v>
      </c>
      <c r="T59" s="181">
        <v>0</v>
      </c>
      <c r="U59" s="73">
        <f t="shared" si="8"/>
        <v>0</v>
      </c>
      <c r="V59" s="181">
        <v>0</v>
      </c>
      <c r="W59" s="73">
        <f t="shared" si="9"/>
        <v>0</v>
      </c>
      <c r="X59" s="181">
        <v>4.4517802925752133E-4</v>
      </c>
      <c r="Y59" s="73">
        <f t="shared" si="10"/>
        <v>151563.67803764835</v>
      </c>
      <c r="Z59" s="73">
        <v>1750000</v>
      </c>
      <c r="AA59" s="73">
        <f t="shared" si="11"/>
        <v>1901563.6780376483</v>
      </c>
      <c r="AB59" s="74">
        <f t="shared" si="12"/>
        <v>9149648.9689751286</v>
      </c>
    </row>
    <row r="60" spans="1:28" ht="14">
      <c r="A60" s="37" t="s">
        <v>127</v>
      </c>
      <c r="B60" s="181">
        <v>0</v>
      </c>
      <c r="C60" s="73">
        <f t="shared" si="15"/>
        <v>0</v>
      </c>
      <c r="D60" s="181">
        <v>0</v>
      </c>
      <c r="E60" s="73">
        <f t="shared" si="15"/>
        <v>0</v>
      </c>
      <c r="F60" s="101">
        <v>2.2267672108020699E-4</v>
      </c>
      <c r="G60" s="73">
        <f t="shared" si="1"/>
        <v>1114883.4857434167</v>
      </c>
      <c r="H60" s="181">
        <v>0</v>
      </c>
      <c r="I60" s="73">
        <f t="shared" si="2"/>
        <v>0</v>
      </c>
      <c r="J60" s="181">
        <v>6.112177898163994E-4</v>
      </c>
      <c r="K60" s="73">
        <f t="shared" si="3"/>
        <v>163114.06943296141</v>
      </c>
      <c r="L60" s="181">
        <v>0</v>
      </c>
      <c r="M60" s="73">
        <f t="shared" si="4"/>
        <v>0</v>
      </c>
      <c r="N60" s="181">
        <v>0</v>
      </c>
      <c r="O60" s="73">
        <f t="shared" si="5"/>
        <v>0</v>
      </c>
      <c r="P60" s="181">
        <v>0</v>
      </c>
      <c r="Q60" s="73">
        <f t="shared" si="6"/>
        <v>0</v>
      </c>
      <c r="R60" s="181">
        <v>0</v>
      </c>
      <c r="S60" s="73">
        <f t="shared" si="7"/>
        <v>0</v>
      </c>
      <c r="T60" s="181">
        <v>0</v>
      </c>
      <c r="U60" s="73">
        <f t="shared" si="8"/>
        <v>0</v>
      </c>
      <c r="V60" s="181">
        <v>0</v>
      </c>
      <c r="W60" s="73">
        <f t="shared" si="9"/>
        <v>0</v>
      </c>
      <c r="X60" s="181">
        <v>3.2233232128070656E-4</v>
      </c>
      <c r="Y60" s="73">
        <f t="shared" si="10"/>
        <v>109740.07914361026</v>
      </c>
      <c r="Z60" s="73">
        <v>500000</v>
      </c>
      <c r="AA60" s="73">
        <f t="shared" si="11"/>
        <v>609740.07914361032</v>
      </c>
      <c r="AB60" s="74">
        <f t="shared" si="12"/>
        <v>1887737.6343199885</v>
      </c>
    </row>
    <row r="61" spans="1:28" ht="14">
      <c r="A61" s="37" t="s">
        <v>78</v>
      </c>
      <c r="B61" s="181">
        <v>2.463070175981024E-2</v>
      </c>
      <c r="C61" s="73">
        <f t="shared" si="15"/>
        <v>2704349.0630601589</v>
      </c>
      <c r="D61" s="181">
        <v>2.3924694469458208E-2</v>
      </c>
      <c r="E61" s="73">
        <f t="shared" si="15"/>
        <v>548738.68024676072</v>
      </c>
      <c r="F61" s="101">
        <v>2.563270001860005E-2</v>
      </c>
      <c r="G61" s="73">
        <f t="shared" si="1"/>
        <v>128336153.8966559</v>
      </c>
      <c r="H61" s="181">
        <v>1.1496484361858411E-2</v>
      </c>
      <c r="I61" s="73">
        <f t="shared" si="2"/>
        <v>266125.43784000003</v>
      </c>
      <c r="J61" s="181">
        <v>2.2886042953027517E-2</v>
      </c>
      <c r="K61" s="73">
        <f t="shared" si="3"/>
        <v>6107537.544689619</v>
      </c>
      <c r="L61" s="181">
        <v>2.4224416189350242E-2</v>
      </c>
      <c r="M61" s="73">
        <f t="shared" si="4"/>
        <v>15529234.26419008</v>
      </c>
      <c r="N61" s="181">
        <v>2.4631576349096688E-2</v>
      </c>
      <c r="O61" s="73">
        <f t="shared" si="5"/>
        <v>264790.35810637736</v>
      </c>
      <c r="P61" s="181">
        <v>5.7500000000000002E-2</v>
      </c>
      <c r="Q61" s="73">
        <f t="shared" si="6"/>
        <v>1150000</v>
      </c>
      <c r="R61" s="181">
        <v>0</v>
      </c>
      <c r="S61" s="73">
        <f t="shared" si="7"/>
        <v>0</v>
      </c>
      <c r="T61" s="181">
        <v>1.5487923752844303E-4</v>
      </c>
      <c r="U61" s="73">
        <f t="shared" si="8"/>
        <v>379687.64414550317</v>
      </c>
      <c r="V61" s="181">
        <v>2.2905418088720417E-2</v>
      </c>
      <c r="W61" s="73">
        <f t="shared" si="9"/>
        <v>1664435.8341406316</v>
      </c>
      <c r="X61" s="181">
        <v>2.5820033804871172E-2</v>
      </c>
      <c r="Y61" s="73">
        <f t="shared" si="10"/>
        <v>8790593.9496823754</v>
      </c>
      <c r="Z61" s="73">
        <v>1750000</v>
      </c>
      <c r="AA61" s="73">
        <f t="shared" si="11"/>
        <v>10540593.949682375</v>
      </c>
      <c r="AB61" s="74">
        <f t="shared" si="12"/>
        <v>167491646.67275739</v>
      </c>
    </row>
    <row r="62" spans="1:28" ht="14">
      <c r="A62" s="37" t="s">
        <v>79</v>
      </c>
      <c r="B62" s="181">
        <v>2.2387623932778173E-2</v>
      </c>
      <c r="C62" s="73">
        <f t="shared" si="15"/>
        <v>2458068.4057301614</v>
      </c>
      <c r="D62" s="181">
        <v>2.1600105906749944E-2</v>
      </c>
      <c r="E62" s="73">
        <f t="shared" si="15"/>
        <v>495421.73353943106</v>
      </c>
      <c r="F62" s="101">
        <v>2.9164961871212217E-2</v>
      </c>
      <c r="G62" s="73">
        <f t="shared" si="1"/>
        <v>146021255.36435843</v>
      </c>
      <c r="H62" s="181">
        <v>2.4586993820999631E-2</v>
      </c>
      <c r="I62" s="73">
        <f t="shared" si="2"/>
        <v>569150.03664000006</v>
      </c>
      <c r="J62" s="181">
        <v>2.2272385993804541E-2</v>
      </c>
      <c r="K62" s="73">
        <f t="shared" si="3"/>
        <v>5943772.5405905331</v>
      </c>
      <c r="L62" s="181">
        <v>2.012247396976494E-2</v>
      </c>
      <c r="M62" s="73">
        <f t="shared" si="4"/>
        <v>12899655.034366727</v>
      </c>
      <c r="N62" s="181">
        <v>1.9011633598047473E-2</v>
      </c>
      <c r="O62" s="73">
        <f t="shared" si="5"/>
        <v>204375.76536991881</v>
      </c>
      <c r="P62" s="181">
        <v>0</v>
      </c>
      <c r="Q62" s="73">
        <f t="shared" si="6"/>
        <v>0</v>
      </c>
      <c r="R62" s="181">
        <v>7.3613239999999996E-2</v>
      </c>
      <c r="S62" s="73">
        <f t="shared" si="7"/>
        <v>2208397.1999999997</v>
      </c>
      <c r="T62" s="181">
        <v>1.9803562459634064E-2</v>
      </c>
      <c r="U62" s="73">
        <f t="shared" si="8"/>
        <v>48548585.956241652</v>
      </c>
      <c r="V62" s="181">
        <v>0.23092995813269934</v>
      </c>
      <c r="W62" s="73">
        <f t="shared" si="9"/>
        <v>16780662.811037682</v>
      </c>
      <c r="X62" s="181">
        <v>3.4930729575828538E-2</v>
      </c>
      <c r="Y62" s="73">
        <f t="shared" si="10"/>
        <v>11892387.995609041</v>
      </c>
      <c r="Z62" s="73">
        <v>1750000</v>
      </c>
      <c r="AA62" s="73">
        <f t="shared" si="11"/>
        <v>13642387.995609041</v>
      </c>
      <c r="AB62" s="74">
        <f t="shared" si="12"/>
        <v>249771732.84348354</v>
      </c>
    </row>
    <row r="63" spans="1:28" ht="14">
      <c r="A63" s="37" t="s">
        <v>80</v>
      </c>
      <c r="B63" s="181">
        <v>4.0000007882070787E-3</v>
      </c>
      <c r="C63" s="73">
        <f t="shared" si="15"/>
        <v>439183.52344627021</v>
      </c>
      <c r="D63" s="181">
        <v>4.9997117070213551E-3</v>
      </c>
      <c r="E63" s="73">
        <f t="shared" si="15"/>
        <v>114673.78223899663</v>
      </c>
      <c r="F63" s="101">
        <v>1.9462860066233639E-3</v>
      </c>
      <c r="G63" s="73">
        <f t="shared" si="1"/>
        <v>9744539.6033845432</v>
      </c>
      <c r="H63" s="181">
        <v>1.0691397620355937E-2</v>
      </c>
      <c r="I63" s="73">
        <f t="shared" si="2"/>
        <v>247488.95256000001</v>
      </c>
      <c r="J63" s="181">
        <v>7.8379601658156682E-3</v>
      </c>
      <c r="K63" s="73">
        <f t="shared" si="3"/>
        <v>2091695.627975225</v>
      </c>
      <c r="L63" s="181">
        <v>1.2442821810607473E-2</v>
      </c>
      <c r="M63" s="73">
        <f t="shared" si="4"/>
        <v>7976559.4057720015</v>
      </c>
      <c r="N63" s="181">
        <v>1.5601625084096115E-2</v>
      </c>
      <c r="O63" s="73">
        <f t="shared" si="5"/>
        <v>167718.04753822635</v>
      </c>
      <c r="P63" s="181">
        <v>9.4600000000000004E-2</v>
      </c>
      <c r="Q63" s="73">
        <f t="shared" si="6"/>
        <v>1892000</v>
      </c>
      <c r="R63" s="181">
        <v>0</v>
      </c>
      <c r="S63" s="73">
        <f t="shared" si="7"/>
        <v>0</v>
      </c>
      <c r="T63" s="181">
        <v>4.1894171525175039E-4</v>
      </c>
      <c r="U63" s="73">
        <f t="shared" si="8"/>
        <v>1027038.8428855819</v>
      </c>
      <c r="V63" s="181">
        <v>0</v>
      </c>
      <c r="W63" s="73">
        <f t="shared" si="9"/>
        <v>0</v>
      </c>
      <c r="X63" s="181">
        <v>2.288728734819731E-3</v>
      </c>
      <c r="Y63" s="73">
        <f t="shared" si="10"/>
        <v>779212.18542226881</v>
      </c>
      <c r="Z63" s="73">
        <v>1750000</v>
      </c>
      <c r="AA63" s="73">
        <f t="shared" si="11"/>
        <v>2529212.1854222687</v>
      </c>
      <c r="AB63" s="74">
        <f t="shared" si="12"/>
        <v>26230109.971223112</v>
      </c>
    </row>
    <row r="64" spans="1:28" ht="14">
      <c r="A64" s="37" t="s">
        <v>128</v>
      </c>
      <c r="B64" s="181">
        <v>1.2934234187714461E-2</v>
      </c>
      <c r="C64" s="73">
        <f t="shared" si="15"/>
        <v>1420125.3560716964</v>
      </c>
      <c r="D64" s="181">
        <v>1.3596298431638185E-2</v>
      </c>
      <c r="E64" s="73">
        <f t="shared" si="15"/>
        <v>311845.7737106139</v>
      </c>
      <c r="F64" s="101">
        <v>1.0115207319895469E-2</v>
      </c>
      <c r="G64" s="73">
        <f t="shared" si="1"/>
        <v>50644169.45388902</v>
      </c>
      <c r="H64" s="181">
        <v>1.266441635921187E-2</v>
      </c>
      <c r="I64" s="73">
        <f t="shared" si="2"/>
        <v>293161.21716</v>
      </c>
      <c r="J64" s="181">
        <v>1.7795865384135856E-2</v>
      </c>
      <c r="K64" s="73">
        <f t="shared" si="3"/>
        <v>4749135.3659053585</v>
      </c>
      <c r="L64" s="181">
        <v>2.5124145650849593E-2</v>
      </c>
      <c r="M64" s="73">
        <f t="shared" si="4"/>
        <v>16106012.233690107</v>
      </c>
      <c r="N64" s="181">
        <v>2.5371424307656154E-2</v>
      </c>
      <c r="O64" s="73">
        <f t="shared" si="5"/>
        <v>272743.75106486003</v>
      </c>
      <c r="P64" s="181">
        <v>0</v>
      </c>
      <c r="Q64" s="73">
        <f t="shared" si="6"/>
        <v>0</v>
      </c>
      <c r="R64" s="181">
        <v>6.8908360000000002E-2</v>
      </c>
      <c r="S64" s="73">
        <f t="shared" si="7"/>
        <v>2067250.8</v>
      </c>
      <c r="T64" s="181">
        <v>5.9351682511134686E-4</v>
      </c>
      <c r="U64" s="73">
        <f t="shared" si="8"/>
        <v>1455011.069807604</v>
      </c>
      <c r="V64" s="181">
        <v>0</v>
      </c>
      <c r="W64" s="73">
        <f t="shared" si="9"/>
        <v>0</v>
      </c>
      <c r="X64" s="181">
        <v>1.3852712230365367E-2</v>
      </c>
      <c r="Y64" s="73">
        <f t="shared" si="10"/>
        <v>4716243.566496307</v>
      </c>
      <c r="Z64" s="73">
        <v>1750000</v>
      </c>
      <c r="AA64" s="73">
        <f t="shared" si="11"/>
        <v>6466243.566496307</v>
      </c>
      <c r="AB64" s="74">
        <f t="shared" si="12"/>
        <v>83785698.587795585</v>
      </c>
    </row>
    <row r="65" spans="1:30" ht="14">
      <c r="A65" s="37" t="s">
        <v>133</v>
      </c>
      <c r="B65" s="181">
        <v>4.000010171624678E-3</v>
      </c>
      <c r="C65" s="73">
        <f t="shared" si="15"/>
        <v>439184.55370666803</v>
      </c>
      <c r="D65" s="181">
        <v>4.9997117070213551E-3</v>
      </c>
      <c r="E65" s="73">
        <f t="shared" si="15"/>
        <v>114673.78223899663</v>
      </c>
      <c r="F65" s="101">
        <v>4.2170260364535775E-4</v>
      </c>
      <c r="G65" s="73">
        <f t="shared" si="1"/>
        <v>2111353.4743035203</v>
      </c>
      <c r="H65" s="181">
        <v>0</v>
      </c>
      <c r="I65" s="73">
        <f t="shared" si="2"/>
        <v>0</v>
      </c>
      <c r="J65" s="181">
        <v>1.6345076162909359E-3</v>
      </c>
      <c r="K65" s="73">
        <f t="shared" si="3"/>
        <v>436196.7096744189</v>
      </c>
      <c r="L65" s="181">
        <v>1.0110157472044462E-2</v>
      </c>
      <c r="M65" s="73">
        <f t="shared" si="4"/>
        <v>6481188.3433646299</v>
      </c>
      <c r="N65" s="181">
        <v>9.3819278310489865E-3</v>
      </c>
      <c r="O65" s="73">
        <f t="shared" si="5"/>
        <v>100856.07169038348</v>
      </c>
      <c r="P65" s="181">
        <v>0</v>
      </c>
      <c r="Q65" s="73">
        <f t="shared" si="6"/>
        <v>0</v>
      </c>
      <c r="R65" s="181">
        <v>5.4818000000000002E-3</v>
      </c>
      <c r="S65" s="73">
        <f t="shared" si="7"/>
        <v>164454</v>
      </c>
      <c r="T65" s="181">
        <v>0</v>
      </c>
      <c r="U65" s="73">
        <f t="shared" si="8"/>
        <v>0</v>
      </c>
      <c r="V65" s="181">
        <v>0</v>
      </c>
      <c r="W65" s="73">
        <f t="shared" si="9"/>
        <v>0</v>
      </c>
      <c r="X65" s="181">
        <v>6.1852884349986189E-4</v>
      </c>
      <c r="Y65" s="73">
        <f t="shared" si="10"/>
        <v>210582.06005710733</v>
      </c>
      <c r="Z65" s="73">
        <v>1750000</v>
      </c>
      <c r="AA65" s="73">
        <f t="shared" si="11"/>
        <v>1960582.0600571074</v>
      </c>
      <c r="AB65" s="74">
        <f t="shared" si="12"/>
        <v>11808488.995035727</v>
      </c>
    </row>
    <row r="66" spans="1:30">
      <c r="A66" s="37" t="s">
        <v>106</v>
      </c>
      <c r="B66" s="181">
        <v>0</v>
      </c>
      <c r="C66" s="73">
        <f t="shared" si="15"/>
        <v>0</v>
      </c>
      <c r="D66" s="181">
        <v>0</v>
      </c>
      <c r="E66" s="73">
        <f t="shared" si="15"/>
        <v>0</v>
      </c>
      <c r="F66" s="181">
        <v>0</v>
      </c>
      <c r="G66" s="73">
        <f t="shared" si="1"/>
        <v>0</v>
      </c>
      <c r="H66" s="181">
        <v>0</v>
      </c>
      <c r="I66" s="73">
        <f t="shared" si="2"/>
        <v>0</v>
      </c>
      <c r="J66" s="181">
        <v>0</v>
      </c>
      <c r="K66" s="73">
        <f t="shared" si="3"/>
        <v>0</v>
      </c>
      <c r="L66" s="181">
        <v>0</v>
      </c>
      <c r="M66" s="73">
        <f t="shared" si="4"/>
        <v>0</v>
      </c>
      <c r="N66" s="181">
        <v>0</v>
      </c>
      <c r="O66" s="73">
        <f t="shared" si="5"/>
        <v>0</v>
      </c>
      <c r="P66" s="181">
        <v>0</v>
      </c>
      <c r="Q66" s="73">
        <f t="shared" si="6"/>
        <v>0</v>
      </c>
      <c r="R66" s="181">
        <v>0</v>
      </c>
      <c r="S66" s="73">
        <f t="shared" si="7"/>
        <v>0</v>
      </c>
      <c r="T66" s="181">
        <v>0</v>
      </c>
      <c r="U66" s="73">
        <f t="shared" si="8"/>
        <v>0</v>
      </c>
      <c r="V66" s="181">
        <v>0</v>
      </c>
      <c r="W66" s="73">
        <f t="shared" si="9"/>
        <v>0</v>
      </c>
      <c r="X66" s="181">
        <v>0</v>
      </c>
      <c r="Y66" s="73">
        <f t="shared" si="10"/>
        <v>0</v>
      </c>
      <c r="Z66" s="75">
        <v>0</v>
      </c>
      <c r="AA66" s="73">
        <f t="shared" si="11"/>
        <v>0</v>
      </c>
      <c r="AB66" s="74">
        <f t="shared" si="12"/>
        <v>0</v>
      </c>
      <c r="AD66" s="72" t="s">
        <v>151</v>
      </c>
    </row>
    <row r="67" spans="1:30" ht="12" thickBot="1">
      <c r="A67" s="133" t="s">
        <v>107</v>
      </c>
      <c r="B67" s="133"/>
      <c r="C67" s="126">
        <f>C70-C68</f>
        <v>109795859.22609919</v>
      </c>
      <c r="D67" s="126"/>
      <c r="E67" s="126">
        <f>E70-E68</f>
        <v>22936078.909900799</v>
      </c>
      <c r="F67" s="126"/>
      <c r="G67" s="126">
        <f>G70-G68</f>
        <v>5006735685.4147387</v>
      </c>
      <c r="H67" s="155"/>
      <c r="I67" s="126">
        <f>I70-I68</f>
        <v>23148419.07</v>
      </c>
      <c r="J67" s="126"/>
      <c r="K67" s="126">
        <f>K70-K68</f>
        <v>266867346.06</v>
      </c>
      <c r="L67" s="126"/>
      <c r="M67" s="126">
        <f>M70-M68</f>
        <v>641057111.25526249</v>
      </c>
      <c r="N67" s="126"/>
      <c r="O67" s="126">
        <f>O70-O68</f>
        <v>10750037.040000001</v>
      </c>
      <c r="P67" s="126"/>
      <c r="Q67" s="126">
        <f>Q70-Q68</f>
        <v>20000000</v>
      </c>
      <c r="R67" s="126"/>
      <c r="S67" s="126">
        <f>S70-S68</f>
        <v>30000000</v>
      </c>
      <c r="T67" s="126"/>
      <c r="U67" s="126">
        <f>U70-U68</f>
        <v>2451507704.9999995</v>
      </c>
      <c r="V67" s="126"/>
      <c r="W67" s="126">
        <f>W70-W68</f>
        <v>72665594.999999985</v>
      </c>
      <c r="X67" s="126"/>
      <c r="Y67" s="126">
        <f>Y70-Y68</f>
        <v>340456330</v>
      </c>
      <c r="Z67" s="126">
        <f>SUM(Z10:Z66)</f>
        <v>90500000</v>
      </c>
      <c r="AA67" s="126">
        <f t="shared" si="11"/>
        <v>430956330</v>
      </c>
      <c r="AB67" s="136">
        <f>SUM(C67+E67+G67+I67+K67+M67+O67+Q67+S67+U67+W67+AA67)</f>
        <v>9086420166.9759998</v>
      </c>
    </row>
    <row r="68" spans="1:30" ht="12" thickTop="1">
      <c r="A68" s="41" t="s">
        <v>108</v>
      </c>
      <c r="B68" s="41"/>
      <c r="C68" s="134">
        <f>C70*0.005</f>
        <v>551737.98606079991</v>
      </c>
      <c r="D68" s="134"/>
      <c r="E68" s="134">
        <f>E70*0.005</f>
        <v>115256.67793919999</v>
      </c>
      <c r="F68" s="134">
        <f>G77*0.0075</f>
        <v>34324015.461975001</v>
      </c>
      <c r="G68" s="156">
        <f>'Program Totals'!F11*0.0075</f>
        <v>34722628.604999997</v>
      </c>
      <c r="H68" s="156"/>
      <c r="I68" s="76">
        <v>0</v>
      </c>
      <c r="J68" s="76"/>
      <c r="K68" s="134">
        <f>K70*0.005</f>
        <v>1341041.94</v>
      </c>
      <c r="L68" s="76"/>
      <c r="M68" s="76">
        <f>'Program Totals'!F17*0.005</f>
        <v>3161775.6</v>
      </c>
      <c r="N68" s="76"/>
      <c r="O68" s="76">
        <v>0</v>
      </c>
      <c r="P68" s="76"/>
      <c r="Q68" s="76">
        <v>0</v>
      </c>
      <c r="R68" s="76"/>
      <c r="S68" s="76">
        <v>0</v>
      </c>
      <c r="T68" s="76"/>
      <c r="U68" s="76">
        <f>(U70+W70)*0.01</f>
        <v>25496699.999999996</v>
      </c>
      <c r="V68" s="76"/>
      <c r="W68" s="76">
        <v>0</v>
      </c>
      <c r="X68" s="76"/>
      <c r="Y68" s="76">
        <f>AA75*0.0075</f>
        <v>5399670</v>
      </c>
      <c r="Z68" s="76">
        <v>0</v>
      </c>
      <c r="AA68" s="76">
        <f>Y68</f>
        <v>5399670</v>
      </c>
      <c r="AB68" s="74">
        <f t="shared" ref="AB68:AB75" si="16">SUM(C68+E68+G68+I68+K68+M68+O68+Q68+S68+U68+W68+AA68)</f>
        <v>70788810.808999985</v>
      </c>
    </row>
    <row r="69" spans="1:30">
      <c r="A69" s="41"/>
      <c r="B69" s="41"/>
      <c r="C69" s="76">
        <v>0</v>
      </c>
      <c r="D69" s="76"/>
      <c r="E69" s="76">
        <v>0</v>
      </c>
      <c r="F69" s="76"/>
      <c r="G69" s="156">
        <v>0</v>
      </c>
      <c r="H69" s="156"/>
      <c r="I69" s="76">
        <v>0</v>
      </c>
      <c r="J69" s="76"/>
      <c r="K69" s="76">
        <v>0</v>
      </c>
      <c r="L69" s="76"/>
      <c r="M69" s="76">
        <v>0</v>
      </c>
      <c r="N69" s="76"/>
      <c r="O69" s="76">
        <v>0</v>
      </c>
      <c r="P69" s="76"/>
      <c r="Q69" s="76">
        <v>0</v>
      </c>
      <c r="R69" s="76"/>
      <c r="S69" s="76">
        <v>0</v>
      </c>
      <c r="T69" s="76"/>
      <c r="U69" s="76">
        <v>0</v>
      </c>
      <c r="V69" s="76"/>
      <c r="W69" s="76">
        <v>0</v>
      </c>
      <c r="X69" s="76"/>
      <c r="Y69" s="76">
        <v>0</v>
      </c>
      <c r="Z69" s="76">
        <v>0</v>
      </c>
      <c r="AA69" s="76">
        <v>0</v>
      </c>
      <c r="AB69" s="74">
        <f>SUM(C69:Z69)</f>
        <v>0</v>
      </c>
    </row>
    <row r="70" spans="1:30" ht="12" thickBot="1">
      <c r="A70" s="135" t="s">
        <v>107</v>
      </c>
      <c r="B70" s="135"/>
      <c r="C70" s="126">
        <f>'Program Totals'!F9</f>
        <v>110347597.21215999</v>
      </c>
      <c r="D70" s="126"/>
      <c r="E70" s="126">
        <f>'Program Totals'!F10</f>
        <v>23051335.587839998</v>
      </c>
      <c r="F70" s="126"/>
      <c r="G70" s="126">
        <f>G77+G80+H79</f>
        <v>5041458314.0197382</v>
      </c>
      <c r="H70" s="155"/>
      <c r="I70" s="126">
        <f>'Program Totals'!F12</f>
        <v>23148419.07</v>
      </c>
      <c r="J70" s="126"/>
      <c r="K70" s="126">
        <f>'Program Totals'!F15</f>
        <v>268208388</v>
      </c>
      <c r="L70" s="126"/>
      <c r="M70" s="126">
        <f>M77+I79</f>
        <v>644218886.85526252</v>
      </c>
      <c r="N70" s="126"/>
      <c r="O70" s="126">
        <f>'Program Totals'!F23-O74</f>
        <v>10750037.040000001</v>
      </c>
      <c r="P70" s="126"/>
      <c r="Q70" s="126">
        <f>'Program Totals'!F21</f>
        <v>20000000</v>
      </c>
      <c r="R70" s="126"/>
      <c r="S70" s="126">
        <f>'Program Totals'!F19</f>
        <v>30000000</v>
      </c>
      <c r="T70" s="126"/>
      <c r="U70" s="126">
        <f>'Program Totals'!F37</f>
        <v>2477004404.9999995</v>
      </c>
      <c r="V70" s="126"/>
      <c r="W70" s="126">
        <f>'Program Totals'!F38</f>
        <v>72665594.999999985</v>
      </c>
      <c r="X70" s="126"/>
      <c r="Y70" s="126">
        <f>'Program Totals'!F40-Z67</f>
        <v>345856000</v>
      </c>
      <c r="Z70" s="126">
        <f>Z67</f>
        <v>90500000</v>
      </c>
      <c r="AA70" s="126">
        <f t="shared" ref="AA70" si="17">SUM(Y70+Z70)</f>
        <v>436356000</v>
      </c>
      <c r="AB70" s="136">
        <f t="shared" si="16"/>
        <v>9157208977.7849998</v>
      </c>
      <c r="AC70" s="72">
        <f>AB67+AB68</f>
        <v>9157208977.7849998</v>
      </c>
    </row>
    <row r="71" spans="1:30" ht="12" thickTop="1">
      <c r="A71" s="125" t="s">
        <v>160</v>
      </c>
      <c r="B71" s="125"/>
      <c r="C71" s="75">
        <v>0</v>
      </c>
      <c r="D71" s="75"/>
      <c r="E71" s="75">
        <v>0</v>
      </c>
      <c r="F71" s="75"/>
      <c r="G71" s="132">
        <v>0</v>
      </c>
      <c r="H71" s="132"/>
      <c r="I71" s="75">
        <v>0</v>
      </c>
      <c r="J71" s="75"/>
      <c r="K71" s="75">
        <v>0</v>
      </c>
      <c r="L71" s="75"/>
      <c r="M71" s="75">
        <v>0</v>
      </c>
      <c r="N71" s="75"/>
      <c r="O71" s="75">
        <v>0</v>
      </c>
      <c r="P71" s="75"/>
      <c r="Q71" s="75">
        <v>0</v>
      </c>
      <c r="R71" s="75"/>
      <c r="S71" s="75">
        <v>0</v>
      </c>
      <c r="T71" s="75"/>
      <c r="U71" s="75">
        <v>0</v>
      </c>
      <c r="V71" s="75"/>
      <c r="W71" s="75">
        <v>0</v>
      </c>
      <c r="X71" s="75"/>
      <c r="Y71" s="75">
        <f>'Program Totals'!F43</f>
        <v>283600000</v>
      </c>
      <c r="Z71" s="75">
        <v>0</v>
      </c>
      <c r="AA71" s="75">
        <f>Y71</f>
        <v>283600000</v>
      </c>
      <c r="AB71" s="74">
        <f t="shared" si="16"/>
        <v>283600000</v>
      </c>
    </row>
    <row r="72" spans="1:30">
      <c r="A72" s="123" t="s">
        <v>109</v>
      </c>
      <c r="B72" s="123"/>
      <c r="C72" s="75">
        <v>0</v>
      </c>
      <c r="D72" s="75"/>
      <c r="E72" s="75">
        <v>0</v>
      </c>
      <c r="F72" s="75"/>
      <c r="G72" s="132">
        <f>'Program Totals'!F13</f>
        <v>30000000</v>
      </c>
      <c r="H72" s="132"/>
      <c r="I72" s="75">
        <v>0</v>
      </c>
      <c r="J72" s="75"/>
      <c r="K72" s="75">
        <v>0</v>
      </c>
      <c r="L72" s="75"/>
      <c r="M72" s="75">
        <v>0</v>
      </c>
      <c r="N72" s="75"/>
      <c r="O72" s="75">
        <v>0</v>
      </c>
      <c r="P72" s="75"/>
      <c r="Q72" s="75">
        <v>0</v>
      </c>
      <c r="R72" s="75"/>
      <c r="S72" s="75">
        <v>0</v>
      </c>
      <c r="T72" s="75"/>
      <c r="U72" s="75">
        <v>0</v>
      </c>
      <c r="V72" s="75"/>
      <c r="W72" s="75">
        <v>0</v>
      </c>
      <c r="X72" s="75"/>
      <c r="Y72" s="75">
        <v>0</v>
      </c>
      <c r="Z72" s="75">
        <v>0</v>
      </c>
      <c r="AA72" s="75">
        <v>0</v>
      </c>
      <c r="AB72" s="74">
        <f t="shared" si="16"/>
        <v>30000000</v>
      </c>
    </row>
    <row r="73" spans="1:30">
      <c r="A73" s="72" t="s">
        <v>158</v>
      </c>
      <c r="C73" s="72">
        <v>0</v>
      </c>
      <c r="E73" s="72">
        <v>0</v>
      </c>
      <c r="G73" s="157">
        <v>0</v>
      </c>
      <c r="H73" s="157"/>
      <c r="I73" s="72">
        <v>0</v>
      </c>
      <c r="K73" s="72">
        <v>0</v>
      </c>
      <c r="M73" s="72">
        <v>0</v>
      </c>
      <c r="O73" s="72">
        <v>0</v>
      </c>
      <c r="Q73" s="72">
        <v>0</v>
      </c>
      <c r="S73" s="72">
        <v>5000000</v>
      </c>
      <c r="U73" s="72">
        <v>0</v>
      </c>
      <c r="W73" s="72">
        <v>0</v>
      </c>
      <c r="Y73" s="72">
        <v>0</v>
      </c>
      <c r="Z73" s="72">
        <v>0</v>
      </c>
      <c r="AA73" s="72">
        <v>0</v>
      </c>
      <c r="AB73" s="74">
        <f t="shared" si="16"/>
        <v>5000000</v>
      </c>
    </row>
    <row r="74" spans="1:30">
      <c r="A74" s="72" t="s">
        <v>159</v>
      </c>
      <c r="C74" s="72">
        <v>0</v>
      </c>
      <c r="E74" s="72">
        <v>0</v>
      </c>
      <c r="G74" s="157">
        <v>0</v>
      </c>
      <c r="H74" s="157"/>
      <c r="I74" s="72">
        <v>0</v>
      </c>
      <c r="K74" s="72">
        <v>0</v>
      </c>
      <c r="M74" s="72">
        <v>0</v>
      </c>
      <c r="O74" s="72">
        <f>'Program Totals'!F22</f>
        <v>1897065.3599999999</v>
      </c>
      <c r="Q74" s="72">
        <v>0</v>
      </c>
      <c r="S74" s="72">
        <v>0</v>
      </c>
      <c r="U74" s="72">
        <v>0</v>
      </c>
      <c r="W74" s="72">
        <v>0</v>
      </c>
      <c r="Y74" s="72">
        <v>0</v>
      </c>
      <c r="Z74" s="72">
        <v>0</v>
      </c>
      <c r="AA74" s="72">
        <v>0</v>
      </c>
      <c r="AB74" s="74">
        <f t="shared" si="16"/>
        <v>1897065.3599999999</v>
      </c>
    </row>
    <row r="75" spans="1:30" ht="12" thickBot="1">
      <c r="A75" s="130" t="s">
        <v>110</v>
      </c>
      <c r="B75" s="130"/>
      <c r="C75" s="130">
        <f>C70+C71+C72+C73+C74</f>
        <v>110347597.21215999</v>
      </c>
      <c r="D75" s="130"/>
      <c r="E75" s="130">
        <f t="shared" ref="E75:AA75" si="18">E70+E71+E72+E73+E74</f>
        <v>23051335.587839998</v>
      </c>
      <c r="F75" s="130"/>
      <c r="G75" s="130">
        <f t="shared" si="18"/>
        <v>5071458314.0197382</v>
      </c>
      <c r="H75" s="158"/>
      <c r="I75" s="130">
        <f t="shared" si="18"/>
        <v>23148419.07</v>
      </c>
      <c r="J75" s="130"/>
      <c r="K75" s="130">
        <f t="shared" si="18"/>
        <v>268208388</v>
      </c>
      <c r="L75" s="130"/>
      <c r="M75" s="130">
        <f t="shared" si="18"/>
        <v>644218886.85526252</v>
      </c>
      <c r="N75" s="130"/>
      <c r="O75" s="130">
        <f t="shared" si="18"/>
        <v>12647102.4</v>
      </c>
      <c r="P75" s="130"/>
      <c r="Q75" s="130">
        <f t="shared" si="18"/>
        <v>20000000</v>
      </c>
      <c r="R75" s="130"/>
      <c r="S75" s="130">
        <f t="shared" si="18"/>
        <v>35000000</v>
      </c>
      <c r="T75" s="130"/>
      <c r="U75" s="130">
        <f t="shared" si="18"/>
        <v>2477004404.9999995</v>
      </c>
      <c r="V75" s="130"/>
      <c r="W75" s="130">
        <f t="shared" si="18"/>
        <v>72665594.999999985</v>
      </c>
      <c r="X75" s="130"/>
      <c r="Y75" s="130">
        <f t="shared" si="18"/>
        <v>629456000</v>
      </c>
      <c r="Z75" s="130">
        <f t="shared" si="18"/>
        <v>90500000</v>
      </c>
      <c r="AA75" s="130">
        <f t="shared" si="18"/>
        <v>719956000</v>
      </c>
      <c r="AB75" s="136">
        <f t="shared" si="16"/>
        <v>9477706043.1450005</v>
      </c>
      <c r="AC75" s="72">
        <f>'Program Totals'!F61</f>
        <v>9477706043.1449986</v>
      </c>
      <c r="AD75" s="72">
        <f>AC70+AB71+AB72+AB73+AB74</f>
        <v>9477706043.1450005</v>
      </c>
    </row>
    <row r="76" spans="1:30" ht="12" hidden="1" thickTop="1">
      <c r="AC76" s="72">
        <f>AB70+AB71+AB72+AB73+AB74</f>
        <v>9477706043.1450005</v>
      </c>
    </row>
    <row r="77" spans="1:30" hidden="1">
      <c r="G77" s="72">
        <f>'Program Totals'!F14</f>
        <v>4576535394.9300003</v>
      </c>
      <c r="M77" s="72">
        <f>'Program Totals'!F18</f>
        <v>564708017.60000002</v>
      </c>
      <c r="Y77" s="100"/>
    </row>
    <row r="78" spans="1:30" hidden="1">
      <c r="A78" s="72" t="s">
        <v>111</v>
      </c>
    </row>
    <row r="79" spans="1:30" hidden="1">
      <c r="G79" s="157">
        <f>'Program Totals'!F46</f>
        <v>279129509.5625</v>
      </c>
      <c r="H79" s="157">
        <f>G79*0.715147032</f>
        <v>199618640.30723748</v>
      </c>
      <c r="I79" s="72">
        <f>G79-H79</f>
        <v>79510869.255262524</v>
      </c>
    </row>
    <row r="80" spans="1:30" hidden="1">
      <c r="G80" s="72">
        <f>'Program Totals'!F47</f>
        <v>265304278.78249997</v>
      </c>
      <c r="I80" s="72">
        <f t="shared" ref="I80:AB80" si="19">SUM(I10:I66)-I67</f>
        <v>0</v>
      </c>
      <c r="K80" s="72">
        <f t="shared" si="19"/>
        <v>0</v>
      </c>
      <c r="M80" s="72">
        <f t="shared" si="19"/>
        <v>0</v>
      </c>
      <c r="O80" s="72">
        <f t="shared" si="19"/>
        <v>0</v>
      </c>
      <c r="Q80" s="72">
        <f t="shared" si="19"/>
        <v>0</v>
      </c>
      <c r="S80" s="72">
        <f t="shared" si="19"/>
        <v>0</v>
      </c>
      <c r="U80" s="72">
        <f t="shared" si="19"/>
        <v>0</v>
      </c>
      <c r="W80" s="72">
        <f t="shared" si="19"/>
        <v>0</v>
      </c>
      <c r="Y80" s="72">
        <f t="shared" si="19"/>
        <v>0</v>
      </c>
      <c r="Z80" s="72">
        <f t="shared" si="19"/>
        <v>0</v>
      </c>
      <c r="AA80" s="72">
        <f t="shared" si="19"/>
        <v>0</v>
      </c>
      <c r="AB80" s="72">
        <f t="shared" si="19"/>
        <v>0</v>
      </c>
    </row>
    <row r="81" spans="25:27" ht="12" thickTop="1"/>
    <row r="88" spans="25:27">
      <c r="Y88" s="43"/>
      <c r="Z88" s="43"/>
      <c r="AA88" s="43"/>
    </row>
    <row r="94" spans="25:27">
      <c r="Y94" s="43"/>
      <c r="Z94" s="43"/>
      <c r="AA94" s="43"/>
    </row>
  </sheetData>
  <mergeCells count="8">
    <mergeCell ref="U7:W7"/>
    <mergeCell ref="A1:AB1"/>
    <mergeCell ref="A2:AB2"/>
    <mergeCell ref="A3:AB3"/>
    <mergeCell ref="A4:AB4"/>
    <mergeCell ref="C5:AB5"/>
    <mergeCell ref="U6:W6"/>
    <mergeCell ref="Y6:Z6"/>
  </mergeCells>
  <pageMargins left="0.7" right="0.7" top="0.75" bottom="0.75" header="0.3" footer="0.3"/>
  <pageSetup orientation="portrait" horizontalDpi="4294967295" verticalDpi="429496729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I94"/>
  <sheetViews>
    <sheetView workbookViewId="0">
      <pane ySplit="9" topLeftCell="A10" activePane="bottomLeft" state="frozen"/>
      <selection activeCell="F76" sqref="F76"/>
      <selection pane="bottomLeft" sqref="A1:AB1"/>
    </sheetView>
  </sheetViews>
  <sheetFormatPr baseColWidth="10" defaultColWidth="9.1640625" defaultRowHeight="11" x14ac:dyDescent="0"/>
  <cols>
    <col min="1" max="1" width="30.1640625" style="72" customWidth="1"/>
    <col min="2" max="2" width="30.1640625" style="72" hidden="1" customWidth="1"/>
    <col min="3" max="3" width="20.1640625" style="72" customWidth="1"/>
    <col min="4" max="4" width="20.1640625" style="72" hidden="1" customWidth="1"/>
    <col min="5" max="5" width="20.1640625" style="72" customWidth="1"/>
    <col min="6" max="6" width="20.1640625" style="72" hidden="1" customWidth="1"/>
    <col min="7" max="7" width="17.1640625" style="72" customWidth="1"/>
    <col min="8" max="8" width="17.1640625" style="72" hidden="1" customWidth="1"/>
    <col min="9" max="9" width="17.1640625" style="72" customWidth="1"/>
    <col min="10" max="10" width="17.1640625" style="72" hidden="1" customWidth="1"/>
    <col min="11" max="11" width="20.6640625" style="72" customWidth="1"/>
    <col min="12" max="12" width="20.6640625" style="72" hidden="1" customWidth="1"/>
    <col min="13" max="13" width="20" style="72" customWidth="1"/>
    <col min="14" max="14" width="20" style="72" hidden="1" customWidth="1"/>
    <col min="15" max="15" width="17.5" style="72" customWidth="1"/>
    <col min="16" max="16" width="17.5" style="72" hidden="1" customWidth="1"/>
    <col min="17" max="17" width="19.83203125" style="72" customWidth="1"/>
    <col min="18" max="18" width="19.83203125" style="72" hidden="1" customWidth="1"/>
    <col min="19" max="19" width="17.1640625" style="72" customWidth="1"/>
    <col min="20" max="20" width="17.1640625" style="72" hidden="1" customWidth="1"/>
    <col min="21" max="21" width="17.1640625" style="72" customWidth="1"/>
    <col min="22" max="22" width="17.1640625" style="72" hidden="1" customWidth="1"/>
    <col min="23" max="23" width="15.83203125" style="72" customWidth="1"/>
    <col min="24" max="24" width="15.83203125" style="72" hidden="1" customWidth="1"/>
    <col min="25" max="25" width="15.5" style="72" customWidth="1"/>
    <col min="26" max="26" width="16.6640625" style="72" customWidth="1"/>
    <col min="27" max="27" width="15.5" style="72" customWidth="1"/>
    <col min="28" max="28" width="16" style="72" customWidth="1"/>
    <col min="29" max="29" width="12" style="72" hidden="1" customWidth="1"/>
    <col min="30" max="30" width="17.33203125" style="72" hidden="1" customWidth="1"/>
    <col min="31" max="31" width="16.5" style="72" bestFit="1" customWidth="1"/>
    <col min="32" max="32" width="10.83203125" style="72" bestFit="1" customWidth="1"/>
    <col min="33" max="269" width="9.1640625" style="72"/>
    <col min="270" max="270" width="29.33203125" style="72" customWidth="1"/>
    <col min="271" max="272" width="20.1640625" style="72" customWidth="1"/>
    <col min="273" max="274" width="17.1640625" style="72" customWidth="1"/>
    <col min="275" max="275" width="21.5" style="72" customWidth="1"/>
    <col min="276" max="276" width="18.33203125" style="72" customWidth="1"/>
    <col min="277" max="277" width="28.5" style="72" customWidth="1"/>
    <col min="278" max="278" width="21" style="72" customWidth="1"/>
    <col min="279" max="279" width="17.5" style="72" customWidth="1"/>
    <col min="280" max="280" width="22.6640625" style="72" customWidth="1"/>
    <col min="281" max="281" width="17.1640625" style="72" customWidth="1"/>
    <col min="282" max="282" width="15.83203125" style="72" customWidth="1"/>
    <col min="283" max="283" width="15.5" style="72" customWidth="1"/>
    <col min="284" max="284" width="16" style="72" customWidth="1"/>
    <col min="285" max="285" width="9.1640625" style="72" customWidth="1"/>
    <col min="286" max="286" width="17.33203125" style="72" customWidth="1"/>
    <col min="287" max="287" width="16.5" style="72" bestFit="1" customWidth="1"/>
    <col min="288" max="288" width="10.83203125" style="72" bestFit="1" customWidth="1"/>
    <col min="289" max="525" width="9.1640625" style="72"/>
    <col min="526" max="526" width="29.33203125" style="72" customWidth="1"/>
    <col min="527" max="528" width="20.1640625" style="72" customWidth="1"/>
    <col min="529" max="530" width="17.1640625" style="72" customWidth="1"/>
    <col min="531" max="531" width="21.5" style="72" customWidth="1"/>
    <col min="532" max="532" width="18.33203125" style="72" customWidth="1"/>
    <col min="533" max="533" width="28.5" style="72" customWidth="1"/>
    <col min="534" max="534" width="21" style="72" customWidth="1"/>
    <col min="535" max="535" width="17.5" style="72" customWidth="1"/>
    <col min="536" max="536" width="22.6640625" style="72" customWidth="1"/>
    <col min="537" max="537" width="17.1640625" style="72" customWidth="1"/>
    <col min="538" max="538" width="15.83203125" style="72" customWidth="1"/>
    <col min="539" max="539" width="15.5" style="72" customWidth="1"/>
    <col min="540" max="540" width="16" style="72" customWidth="1"/>
    <col min="541" max="541" width="9.1640625" style="72" customWidth="1"/>
    <col min="542" max="542" width="17.33203125" style="72" customWidth="1"/>
    <col min="543" max="543" width="16.5" style="72" bestFit="1" customWidth="1"/>
    <col min="544" max="544" width="10.83203125" style="72" bestFit="1" customWidth="1"/>
    <col min="545" max="781" width="9.1640625" style="72"/>
    <col min="782" max="782" width="29.33203125" style="72" customWidth="1"/>
    <col min="783" max="784" width="20.1640625" style="72" customWidth="1"/>
    <col min="785" max="786" width="17.1640625" style="72" customWidth="1"/>
    <col min="787" max="787" width="21.5" style="72" customWidth="1"/>
    <col min="788" max="788" width="18.33203125" style="72" customWidth="1"/>
    <col min="789" max="789" width="28.5" style="72" customWidth="1"/>
    <col min="790" max="790" width="21" style="72" customWidth="1"/>
    <col min="791" max="791" width="17.5" style="72" customWidth="1"/>
    <col min="792" max="792" width="22.6640625" style="72" customWidth="1"/>
    <col min="793" max="793" width="17.1640625" style="72" customWidth="1"/>
    <col min="794" max="794" width="15.83203125" style="72" customWidth="1"/>
    <col min="795" max="795" width="15.5" style="72" customWidth="1"/>
    <col min="796" max="796" width="16" style="72" customWidth="1"/>
    <col min="797" max="797" width="9.1640625" style="72" customWidth="1"/>
    <col min="798" max="798" width="17.33203125" style="72" customWidth="1"/>
    <col min="799" max="799" width="16.5" style="72" bestFit="1" customWidth="1"/>
    <col min="800" max="800" width="10.83203125" style="72" bestFit="1" customWidth="1"/>
    <col min="801" max="1037" width="9.1640625" style="72"/>
    <col min="1038" max="1038" width="29.33203125" style="72" customWidth="1"/>
    <col min="1039" max="1040" width="20.1640625" style="72" customWidth="1"/>
    <col min="1041" max="1042" width="17.1640625" style="72" customWidth="1"/>
    <col min="1043" max="1043" width="21.5" style="72" customWidth="1"/>
    <col min="1044" max="1044" width="18.33203125" style="72" customWidth="1"/>
    <col min="1045" max="1045" width="28.5" style="72" customWidth="1"/>
    <col min="1046" max="1046" width="21" style="72" customWidth="1"/>
    <col min="1047" max="1047" width="17.5" style="72" customWidth="1"/>
    <col min="1048" max="1048" width="22.6640625" style="72" customWidth="1"/>
    <col min="1049" max="1049" width="17.1640625" style="72" customWidth="1"/>
    <col min="1050" max="1050" width="15.83203125" style="72" customWidth="1"/>
    <col min="1051" max="1051" width="15.5" style="72" customWidth="1"/>
    <col min="1052" max="1052" width="16" style="72" customWidth="1"/>
    <col min="1053" max="1053" width="9.1640625" style="72" customWidth="1"/>
    <col min="1054" max="1054" width="17.33203125" style="72" customWidth="1"/>
    <col min="1055" max="1055" width="16.5" style="72" bestFit="1" customWidth="1"/>
    <col min="1056" max="1056" width="10.83203125" style="72" bestFit="1" customWidth="1"/>
    <col min="1057" max="1293" width="9.1640625" style="72"/>
    <col min="1294" max="1294" width="29.33203125" style="72" customWidth="1"/>
    <col min="1295" max="1296" width="20.1640625" style="72" customWidth="1"/>
    <col min="1297" max="1298" width="17.1640625" style="72" customWidth="1"/>
    <col min="1299" max="1299" width="21.5" style="72" customWidth="1"/>
    <col min="1300" max="1300" width="18.33203125" style="72" customWidth="1"/>
    <col min="1301" max="1301" width="28.5" style="72" customWidth="1"/>
    <col min="1302" max="1302" width="21" style="72" customWidth="1"/>
    <col min="1303" max="1303" width="17.5" style="72" customWidth="1"/>
    <col min="1304" max="1304" width="22.6640625" style="72" customWidth="1"/>
    <col min="1305" max="1305" width="17.1640625" style="72" customWidth="1"/>
    <col min="1306" max="1306" width="15.83203125" style="72" customWidth="1"/>
    <col min="1307" max="1307" width="15.5" style="72" customWidth="1"/>
    <col min="1308" max="1308" width="16" style="72" customWidth="1"/>
    <col min="1309" max="1309" width="9.1640625" style="72" customWidth="1"/>
    <col min="1310" max="1310" width="17.33203125" style="72" customWidth="1"/>
    <col min="1311" max="1311" width="16.5" style="72" bestFit="1" customWidth="1"/>
    <col min="1312" max="1312" width="10.83203125" style="72" bestFit="1" customWidth="1"/>
    <col min="1313" max="1549" width="9.1640625" style="72"/>
    <col min="1550" max="1550" width="29.33203125" style="72" customWidth="1"/>
    <col min="1551" max="1552" width="20.1640625" style="72" customWidth="1"/>
    <col min="1553" max="1554" width="17.1640625" style="72" customWidth="1"/>
    <col min="1555" max="1555" width="21.5" style="72" customWidth="1"/>
    <col min="1556" max="1556" width="18.33203125" style="72" customWidth="1"/>
    <col min="1557" max="1557" width="28.5" style="72" customWidth="1"/>
    <col min="1558" max="1558" width="21" style="72" customWidth="1"/>
    <col min="1559" max="1559" width="17.5" style="72" customWidth="1"/>
    <col min="1560" max="1560" width="22.6640625" style="72" customWidth="1"/>
    <col min="1561" max="1561" width="17.1640625" style="72" customWidth="1"/>
    <col min="1562" max="1562" width="15.83203125" style="72" customWidth="1"/>
    <col min="1563" max="1563" width="15.5" style="72" customWidth="1"/>
    <col min="1564" max="1564" width="16" style="72" customWidth="1"/>
    <col min="1565" max="1565" width="9.1640625" style="72" customWidth="1"/>
    <col min="1566" max="1566" width="17.33203125" style="72" customWidth="1"/>
    <col min="1567" max="1567" width="16.5" style="72" bestFit="1" customWidth="1"/>
    <col min="1568" max="1568" width="10.83203125" style="72" bestFit="1" customWidth="1"/>
    <col min="1569" max="1805" width="9.1640625" style="72"/>
    <col min="1806" max="1806" width="29.33203125" style="72" customWidth="1"/>
    <col min="1807" max="1808" width="20.1640625" style="72" customWidth="1"/>
    <col min="1809" max="1810" width="17.1640625" style="72" customWidth="1"/>
    <col min="1811" max="1811" width="21.5" style="72" customWidth="1"/>
    <col min="1812" max="1812" width="18.33203125" style="72" customWidth="1"/>
    <col min="1813" max="1813" width="28.5" style="72" customWidth="1"/>
    <col min="1814" max="1814" width="21" style="72" customWidth="1"/>
    <col min="1815" max="1815" width="17.5" style="72" customWidth="1"/>
    <col min="1816" max="1816" width="22.6640625" style="72" customWidth="1"/>
    <col min="1817" max="1817" width="17.1640625" style="72" customWidth="1"/>
    <col min="1818" max="1818" width="15.83203125" style="72" customWidth="1"/>
    <col min="1819" max="1819" width="15.5" style="72" customWidth="1"/>
    <col min="1820" max="1820" width="16" style="72" customWidth="1"/>
    <col min="1821" max="1821" width="9.1640625" style="72" customWidth="1"/>
    <col min="1822" max="1822" width="17.33203125" style="72" customWidth="1"/>
    <col min="1823" max="1823" width="16.5" style="72" bestFit="1" customWidth="1"/>
    <col min="1824" max="1824" width="10.83203125" style="72" bestFit="1" customWidth="1"/>
    <col min="1825" max="2061" width="9.1640625" style="72"/>
    <col min="2062" max="2062" width="29.33203125" style="72" customWidth="1"/>
    <col min="2063" max="2064" width="20.1640625" style="72" customWidth="1"/>
    <col min="2065" max="2066" width="17.1640625" style="72" customWidth="1"/>
    <col min="2067" max="2067" width="21.5" style="72" customWidth="1"/>
    <col min="2068" max="2068" width="18.33203125" style="72" customWidth="1"/>
    <col min="2069" max="2069" width="28.5" style="72" customWidth="1"/>
    <col min="2070" max="2070" width="21" style="72" customWidth="1"/>
    <col min="2071" max="2071" width="17.5" style="72" customWidth="1"/>
    <col min="2072" max="2072" width="22.6640625" style="72" customWidth="1"/>
    <col min="2073" max="2073" width="17.1640625" style="72" customWidth="1"/>
    <col min="2074" max="2074" width="15.83203125" style="72" customWidth="1"/>
    <col min="2075" max="2075" width="15.5" style="72" customWidth="1"/>
    <col min="2076" max="2076" width="16" style="72" customWidth="1"/>
    <col min="2077" max="2077" width="9.1640625" style="72" customWidth="1"/>
    <col min="2078" max="2078" width="17.33203125" style="72" customWidth="1"/>
    <col min="2079" max="2079" width="16.5" style="72" bestFit="1" customWidth="1"/>
    <col min="2080" max="2080" width="10.83203125" style="72" bestFit="1" customWidth="1"/>
    <col min="2081" max="2317" width="9.1640625" style="72"/>
    <col min="2318" max="2318" width="29.33203125" style="72" customWidth="1"/>
    <col min="2319" max="2320" width="20.1640625" style="72" customWidth="1"/>
    <col min="2321" max="2322" width="17.1640625" style="72" customWidth="1"/>
    <col min="2323" max="2323" width="21.5" style="72" customWidth="1"/>
    <col min="2324" max="2324" width="18.33203125" style="72" customWidth="1"/>
    <col min="2325" max="2325" width="28.5" style="72" customWidth="1"/>
    <col min="2326" max="2326" width="21" style="72" customWidth="1"/>
    <col min="2327" max="2327" width="17.5" style="72" customWidth="1"/>
    <col min="2328" max="2328" width="22.6640625" style="72" customWidth="1"/>
    <col min="2329" max="2329" width="17.1640625" style="72" customWidth="1"/>
    <col min="2330" max="2330" width="15.83203125" style="72" customWidth="1"/>
    <col min="2331" max="2331" width="15.5" style="72" customWidth="1"/>
    <col min="2332" max="2332" width="16" style="72" customWidth="1"/>
    <col min="2333" max="2333" width="9.1640625" style="72" customWidth="1"/>
    <col min="2334" max="2334" width="17.33203125" style="72" customWidth="1"/>
    <col min="2335" max="2335" width="16.5" style="72" bestFit="1" customWidth="1"/>
    <col min="2336" max="2336" width="10.83203125" style="72" bestFit="1" customWidth="1"/>
    <col min="2337" max="2573" width="9.1640625" style="72"/>
    <col min="2574" max="2574" width="29.33203125" style="72" customWidth="1"/>
    <col min="2575" max="2576" width="20.1640625" style="72" customWidth="1"/>
    <col min="2577" max="2578" width="17.1640625" style="72" customWidth="1"/>
    <col min="2579" max="2579" width="21.5" style="72" customWidth="1"/>
    <col min="2580" max="2580" width="18.33203125" style="72" customWidth="1"/>
    <col min="2581" max="2581" width="28.5" style="72" customWidth="1"/>
    <col min="2582" max="2582" width="21" style="72" customWidth="1"/>
    <col min="2583" max="2583" width="17.5" style="72" customWidth="1"/>
    <col min="2584" max="2584" width="22.6640625" style="72" customWidth="1"/>
    <col min="2585" max="2585" width="17.1640625" style="72" customWidth="1"/>
    <col min="2586" max="2586" width="15.83203125" style="72" customWidth="1"/>
    <col min="2587" max="2587" width="15.5" style="72" customWidth="1"/>
    <col min="2588" max="2588" width="16" style="72" customWidth="1"/>
    <col min="2589" max="2589" width="9.1640625" style="72" customWidth="1"/>
    <col min="2590" max="2590" width="17.33203125" style="72" customWidth="1"/>
    <col min="2591" max="2591" width="16.5" style="72" bestFit="1" customWidth="1"/>
    <col min="2592" max="2592" width="10.83203125" style="72" bestFit="1" customWidth="1"/>
    <col min="2593" max="2829" width="9.1640625" style="72"/>
    <col min="2830" max="2830" width="29.33203125" style="72" customWidth="1"/>
    <col min="2831" max="2832" width="20.1640625" style="72" customWidth="1"/>
    <col min="2833" max="2834" width="17.1640625" style="72" customWidth="1"/>
    <col min="2835" max="2835" width="21.5" style="72" customWidth="1"/>
    <col min="2836" max="2836" width="18.33203125" style="72" customWidth="1"/>
    <col min="2837" max="2837" width="28.5" style="72" customWidth="1"/>
    <col min="2838" max="2838" width="21" style="72" customWidth="1"/>
    <col min="2839" max="2839" width="17.5" style="72" customWidth="1"/>
    <col min="2840" max="2840" width="22.6640625" style="72" customWidth="1"/>
    <col min="2841" max="2841" width="17.1640625" style="72" customWidth="1"/>
    <col min="2842" max="2842" width="15.83203125" style="72" customWidth="1"/>
    <col min="2843" max="2843" width="15.5" style="72" customWidth="1"/>
    <col min="2844" max="2844" width="16" style="72" customWidth="1"/>
    <col min="2845" max="2845" width="9.1640625" style="72" customWidth="1"/>
    <col min="2846" max="2846" width="17.33203125" style="72" customWidth="1"/>
    <col min="2847" max="2847" width="16.5" style="72" bestFit="1" customWidth="1"/>
    <col min="2848" max="2848" width="10.83203125" style="72" bestFit="1" customWidth="1"/>
    <col min="2849" max="3085" width="9.1640625" style="72"/>
    <col min="3086" max="3086" width="29.33203125" style="72" customWidth="1"/>
    <col min="3087" max="3088" width="20.1640625" style="72" customWidth="1"/>
    <col min="3089" max="3090" width="17.1640625" style="72" customWidth="1"/>
    <col min="3091" max="3091" width="21.5" style="72" customWidth="1"/>
    <col min="3092" max="3092" width="18.33203125" style="72" customWidth="1"/>
    <col min="3093" max="3093" width="28.5" style="72" customWidth="1"/>
    <col min="3094" max="3094" width="21" style="72" customWidth="1"/>
    <col min="3095" max="3095" width="17.5" style="72" customWidth="1"/>
    <col min="3096" max="3096" width="22.6640625" style="72" customWidth="1"/>
    <col min="3097" max="3097" width="17.1640625" style="72" customWidth="1"/>
    <col min="3098" max="3098" width="15.83203125" style="72" customWidth="1"/>
    <col min="3099" max="3099" width="15.5" style="72" customWidth="1"/>
    <col min="3100" max="3100" width="16" style="72" customWidth="1"/>
    <col min="3101" max="3101" width="9.1640625" style="72" customWidth="1"/>
    <col min="3102" max="3102" width="17.33203125" style="72" customWidth="1"/>
    <col min="3103" max="3103" width="16.5" style="72" bestFit="1" customWidth="1"/>
    <col min="3104" max="3104" width="10.83203125" style="72" bestFit="1" customWidth="1"/>
    <col min="3105" max="3341" width="9.1640625" style="72"/>
    <col min="3342" max="3342" width="29.33203125" style="72" customWidth="1"/>
    <col min="3343" max="3344" width="20.1640625" style="72" customWidth="1"/>
    <col min="3345" max="3346" width="17.1640625" style="72" customWidth="1"/>
    <col min="3347" max="3347" width="21.5" style="72" customWidth="1"/>
    <col min="3348" max="3348" width="18.33203125" style="72" customWidth="1"/>
    <col min="3349" max="3349" width="28.5" style="72" customWidth="1"/>
    <col min="3350" max="3350" width="21" style="72" customWidth="1"/>
    <col min="3351" max="3351" width="17.5" style="72" customWidth="1"/>
    <col min="3352" max="3352" width="22.6640625" style="72" customWidth="1"/>
    <col min="3353" max="3353" width="17.1640625" style="72" customWidth="1"/>
    <col min="3354" max="3354" width="15.83203125" style="72" customWidth="1"/>
    <col min="3355" max="3355" width="15.5" style="72" customWidth="1"/>
    <col min="3356" max="3356" width="16" style="72" customWidth="1"/>
    <col min="3357" max="3357" width="9.1640625" style="72" customWidth="1"/>
    <col min="3358" max="3358" width="17.33203125" style="72" customWidth="1"/>
    <col min="3359" max="3359" width="16.5" style="72" bestFit="1" customWidth="1"/>
    <col min="3360" max="3360" width="10.83203125" style="72" bestFit="1" customWidth="1"/>
    <col min="3361" max="3597" width="9.1640625" style="72"/>
    <col min="3598" max="3598" width="29.33203125" style="72" customWidth="1"/>
    <col min="3599" max="3600" width="20.1640625" style="72" customWidth="1"/>
    <col min="3601" max="3602" width="17.1640625" style="72" customWidth="1"/>
    <col min="3603" max="3603" width="21.5" style="72" customWidth="1"/>
    <col min="3604" max="3604" width="18.33203125" style="72" customWidth="1"/>
    <col min="3605" max="3605" width="28.5" style="72" customWidth="1"/>
    <col min="3606" max="3606" width="21" style="72" customWidth="1"/>
    <col min="3607" max="3607" width="17.5" style="72" customWidth="1"/>
    <col min="3608" max="3608" width="22.6640625" style="72" customWidth="1"/>
    <col min="3609" max="3609" width="17.1640625" style="72" customWidth="1"/>
    <col min="3610" max="3610" width="15.83203125" style="72" customWidth="1"/>
    <col min="3611" max="3611" width="15.5" style="72" customWidth="1"/>
    <col min="3612" max="3612" width="16" style="72" customWidth="1"/>
    <col min="3613" max="3613" width="9.1640625" style="72" customWidth="1"/>
    <col min="3614" max="3614" width="17.33203125" style="72" customWidth="1"/>
    <col min="3615" max="3615" width="16.5" style="72" bestFit="1" customWidth="1"/>
    <col min="3616" max="3616" width="10.83203125" style="72" bestFit="1" customWidth="1"/>
    <col min="3617" max="3853" width="9.1640625" style="72"/>
    <col min="3854" max="3854" width="29.33203125" style="72" customWidth="1"/>
    <col min="3855" max="3856" width="20.1640625" style="72" customWidth="1"/>
    <col min="3857" max="3858" width="17.1640625" style="72" customWidth="1"/>
    <col min="3859" max="3859" width="21.5" style="72" customWidth="1"/>
    <col min="3860" max="3860" width="18.33203125" style="72" customWidth="1"/>
    <col min="3861" max="3861" width="28.5" style="72" customWidth="1"/>
    <col min="3862" max="3862" width="21" style="72" customWidth="1"/>
    <col min="3863" max="3863" width="17.5" style="72" customWidth="1"/>
    <col min="3864" max="3864" width="22.6640625" style="72" customWidth="1"/>
    <col min="3865" max="3865" width="17.1640625" style="72" customWidth="1"/>
    <col min="3866" max="3866" width="15.83203125" style="72" customWidth="1"/>
    <col min="3867" max="3867" width="15.5" style="72" customWidth="1"/>
    <col min="3868" max="3868" width="16" style="72" customWidth="1"/>
    <col min="3869" max="3869" width="9.1640625" style="72" customWidth="1"/>
    <col min="3870" max="3870" width="17.33203125" style="72" customWidth="1"/>
    <col min="3871" max="3871" width="16.5" style="72" bestFit="1" customWidth="1"/>
    <col min="3872" max="3872" width="10.83203125" style="72" bestFit="1" customWidth="1"/>
    <col min="3873" max="4109" width="9.1640625" style="72"/>
    <col min="4110" max="4110" width="29.33203125" style="72" customWidth="1"/>
    <col min="4111" max="4112" width="20.1640625" style="72" customWidth="1"/>
    <col min="4113" max="4114" width="17.1640625" style="72" customWidth="1"/>
    <col min="4115" max="4115" width="21.5" style="72" customWidth="1"/>
    <col min="4116" max="4116" width="18.33203125" style="72" customWidth="1"/>
    <col min="4117" max="4117" width="28.5" style="72" customWidth="1"/>
    <col min="4118" max="4118" width="21" style="72" customWidth="1"/>
    <col min="4119" max="4119" width="17.5" style="72" customWidth="1"/>
    <col min="4120" max="4120" width="22.6640625" style="72" customWidth="1"/>
    <col min="4121" max="4121" width="17.1640625" style="72" customWidth="1"/>
    <col min="4122" max="4122" width="15.83203125" style="72" customWidth="1"/>
    <col min="4123" max="4123" width="15.5" style="72" customWidth="1"/>
    <col min="4124" max="4124" width="16" style="72" customWidth="1"/>
    <col min="4125" max="4125" width="9.1640625" style="72" customWidth="1"/>
    <col min="4126" max="4126" width="17.33203125" style="72" customWidth="1"/>
    <col min="4127" max="4127" width="16.5" style="72" bestFit="1" customWidth="1"/>
    <col min="4128" max="4128" width="10.83203125" style="72" bestFit="1" customWidth="1"/>
    <col min="4129" max="4365" width="9.1640625" style="72"/>
    <col min="4366" max="4366" width="29.33203125" style="72" customWidth="1"/>
    <col min="4367" max="4368" width="20.1640625" style="72" customWidth="1"/>
    <col min="4369" max="4370" width="17.1640625" style="72" customWidth="1"/>
    <col min="4371" max="4371" width="21.5" style="72" customWidth="1"/>
    <col min="4372" max="4372" width="18.33203125" style="72" customWidth="1"/>
    <col min="4373" max="4373" width="28.5" style="72" customWidth="1"/>
    <col min="4374" max="4374" width="21" style="72" customWidth="1"/>
    <col min="4375" max="4375" width="17.5" style="72" customWidth="1"/>
    <col min="4376" max="4376" width="22.6640625" style="72" customWidth="1"/>
    <col min="4377" max="4377" width="17.1640625" style="72" customWidth="1"/>
    <col min="4378" max="4378" width="15.83203125" style="72" customWidth="1"/>
    <col min="4379" max="4379" width="15.5" style="72" customWidth="1"/>
    <col min="4380" max="4380" width="16" style="72" customWidth="1"/>
    <col min="4381" max="4381" width="9.1640625" style="72" customWidth="1"/>
    <col min="4382" max="4382" width="17.33203125" style="72" customWidth="1"/>
    <col min="4383" max="4383" width="16.5" style="72" bestFit="1" customWidth="1"/>
    <col min="4384" max="4384" width="10.83203125" style="72" bestFit="1" customWidth="1"/>
    <col min="4385" max="4621" width="9.1640625" style="72"/>
    <col min="4622" max="4622" width="29.33203125" style="72" customWidth="1"/>
    <col min="4623" max="4624" width="20.1640625" style="72" customWidth="1"/>
    <col min="4625" max="4626" width="17.1640625" style="72" customWidth="1"/>
    <col min="4627" max="4627" width="21.5" style="72" customWidth="1"/>
    <col min="4628" max="4628" width="18.33203125" style="72" customWidth="1"/>
    <col min="4629" max="4629" width="28.5" style="72" customWidth="1"/>
    <col min="4630" max="4630" width="21" style="72" customWidth="1"/>
    <col min="4631" max="4631" width="17.5" style="72" customWidth="1"/>
    <col min="4632" max="4632" width="22.6640625" style="72" customWidth="1"/>
    <col min="4633" max="4633" width="17.1640625" style="72" customWidth="1"/>
    <col min="4634" max="4634" width="15.83203125" style="72" customWidth="1"/>
    <col min="4635" max="4635" width="15.5" style="72" customWidth="1"/>
    <col min="4636" max="4636" width="16" style="72" customWidth="1"/>
    <col min="4637" max="4637" width="9.1640625" style="72" customWidth="1"/>
    <col min="4638" max="4638" width="17.33203125" style="72" customWidth="1"/>
    <col min="4639" max="4639" width="16.5" style="72" bestFit="1" customWidth="1"/>
    <col min="4640" max="4640" width="10.83203125" style="72" bestFit="1" customWidth="1"/>
    <col min="4641" max="4877" width="9.1640625" style="72"/>
    <col min="4878" max="4878" width="29.33203125" style="72" customWidth="1"/>
    <col min="4879" max="4880" width="20.1640625" style="72" customWidth="1"/>
    <col min="4881" max="4882" width="17.1640625" style="72" customWidth="1"/>
    <col min="4883" max="4883" width="21.5" style="72" customWidth="1"/>
    <col min="4884" max="4884" width="18.33203125" style="72" customWidth="1"/>
    <col min="4885" max="4885" width="28.5" style="72" customWidth="1"/>
    <col min="4886" max="4886" width="21" style="72" customWidth="1"/>
    <col min="4887" max="4887" width="17.5" style="72" customWidth="1"/>
    <col min="4888" max="4888" width="22.6640625" style="72" customWidth="1"/>
    <col min="4889" max="4889" width="17.1640625" style="72" customWidth="1"/>
    <col min="4890" max="4890" width="15.83203125" style="72" customWidth="1"/>
    <col min="4891" max="4891" width="15.5" style="72" customWidth="1"/>
    <col min="4892" max="4892" width="16" style="72" customWidth="1"/>
    <col min="4893" max="4893" width="9.1640625" style="72" customWidth="1"/>
    <col min="4894" max="4894" width="17.33203125" style="72" customWidth="1"/>
    <col min="4895" max="4895" width="16.5" style="72" bestFit="1" customWidth="1"/>
    <col min="4896" max="4896" width="10.83203125" style="72" bestFit="1" customWidth="1"/>
    <col min="4897" max="5133" width="9.1640625" style="72"/>
    <col min="5134" max="5134" width="29.33203125" style="72" customWidth="1"/>
    <col min="5135" max="5136" width="20.1640625" style="72" customWidth="1"/>
    <col min="5137" max="5138" width="17.1640625" style="72" customWidth="1"/>
    <col min="5139" max="5139" width="21.5" style="72" customWidth="1"/>
    <col min="5140" max="5140" width="18.33203125" style="72" customWidth="1"/>
    <col min="5141" max="5141" width="28.5" style="72" customWidth="1"/>
    <col min="5142" max="5142" width="21" style="72" customWidth="1"/>
    <col min="5143" max="5143" width="17.5" style="72" customWidth="1"/>
    <col min="5144" max="5144" width="22.6640625" style="72" customWidth="1"/>
    <col min="5145" max="5145" width="17.1640625" style="72" customWidth="1"/>
    <col min="5146" max="5146" width="15.83203125" style="72" customWidth="1"/>
    <col min="5147" max="5147" width="15.5" style="72" customWidth="1"/>
    <col min="5148" max="5148" width="16" style="72" customWidth="1"/>
    <col min="5149" max="5149" width="9.1640625" style="72" customWidth="1"/>
    <col min="5150" max="5150" width="17.33203125" style="72" customWidth="1"/>
    <col min="5151" max="5151" width="16.5" style="72" bestFit="1" customWidth="1"/>
    <col min="5152" max="5152" width="10.83203125" style="72" bestFit="1" customWidth="1"/>
    <col min="5153" max="5389" width="9.1640625" style="72"/>
    <col min="5390" max="5390" width="29.33203125" style="72" customWidth="1"/>
    <col min="5391" max="5392" width="20.1640625" style="72" customWidth="1"/>
    <col min="5393" max="5394" width="17.1640625" style="72" customWidth="1"/>
    <col min="5395" max="5395" width="21.5" style="72" customWidth="1"/>
    <col min="5396" max="5396" width="18.33203125" style="72" customWidth="1"/>
    <col min="5397" max="5397" width="28.5" style="72" customWidth="1"/>
    <col min="5398" max="5398" width="21" style="72" customWidth="1"/>
    <col min="5399" max="5399" width="17.5" style="72" customWidth="1"/>
    <col min="5400" max="5400" width="22.6640625" style="72" customWidth="1"/>
    <col min="5401" max="5401" width="17.1640625" style="72" customWidth="1"/>
    <col min="5402" max="5402" width="15.83203125" style="72" customWidth="1"/>
    <col min="5403" max="5403" width="15.5" style="72" customWidth="1"/>
    <col min="5404" max="5404" width="16" style="72" customWidth="1"/>
    <col min="5405" max="5405" width="9.1640625" style="72" customWidth="1"/>
    <col min="5406" max="5406" width="17.33203125" style="72" customWidth="1"/>
    <col min="5407" max="5407" width="16.5" style="72" bestFit="1" customWidth="1"/>
    <col min="5408" max="5408" width="10.83203125" style="72" bestFit="1" customWidth="1"/>
    <col min="5409" max="5645" width="9.1640625" style="72"/>
    <col min="5646" max="5646" width="29.33203125" style="72" customWidth="1"/>
    <col min="5647" max="5648" width="20.1640625" style="72" customWidth="1"/>
    <col min="5649" max="5650" width="17.1640625" style="72" customWidth="1"/>
    <col min="5651" max="5651" width="21.5" style="72" customWidth="1"/>
    <col min="5652" max="5652" width="18.33203125" style="72" customWidth="1"/>
    <col min="5653" max="5653" width="28.5" style="72" customWidth="1"/>
    <col min="5654" max="5654" width="21" style="72" customWidth="1"/>
    <col min="5655" max="5655" width="17.5" style="72" customWidth="1"/>
    <col min="5656" max="5656" width="22.6640625" style="72" customWidth="1"/>
    <col min="5657" max="5657" width="17.1640625" style="72" customWidth="1"/>
    <col min="5658" max="5658" width="15.83203125" style="72" customWidth="1"/>
    <col min="5659" max="5659" width="15.5" style="72" customWidth="1"/>
    <col min="5660" max="5660" width="16" style="72" customWidth="1"/>
    <col min="5661" max="5661" width="9.1640625" style="72" customWidth="1"/>
    <col min="5662" max="5662" width="17.33203125" style="72" customWidth="1"/>
    <col min="5663" max="5663" width="16.5" style="72" bestFit="1" customWidth="1"/>
    <col min="5664" max="5664" width="10.83203125" style="72" bestFit="1" customWidth="1"/>
    <col min="5665" max="5901" width="9.1640625" style="72"/>
    <col min="5902" max="5902" width="29.33203125" style="72" customWidth="1"/>
    <col min="5903" max="5904" width="20.1640625" style="72" customWidth="1"/>
    <col min="5905" max="5906" width="17.1640625" style="72" customWidth="1"/>
    <col min="5907" max="5907" width="21.5" style="72" customWidth="1"/>
    <col min="5908" max="5908" width="18.33203125" style="72" customWidth="1"/>
    <col min="5909" max="5909" width="28.5" style="72" customWidth="1"/>
    <col min="5910" max="5910" width="21" style="72" customWidth="1"/>
    <col min="5911" max="5911" width="17.5" style="72" customWidth="1"/>
    <col min="5912" max="5912" width="22.6640625" style="72" customWidth="1"/>
    <col min="5913" max="5913" width="17.1640625" style="72" customWidth="1"/>
    <col min="5914" max="5914" width="15.83203125" style="72" customWidth="1"/>
    <col min="5915" max="5915" width="15.5" style="72" customWidth="1"/>
    <col min="5916" max="5916" width="16" style="72" customWidth="1"/>
    <col min="5917" max="5917" width="9.1640625" style="72" customWidth="1"/>
    <col min="5918" max="5918" width="17.33203125" style="72" customWidth="1"/>
    <col min="5919" max="5919" width="16.5" style="72" bestFit="1" customWidth="1"/>
    <col min="5920" max="5920" width="10.83203125" style="72" bestFit="1" customWidth="1"/>
    <col min="5921" max="6157" width="9.1640625" style="72"/>
    <col min="6158" max="6158" width="29.33203125" style="72" customWidth="1"/>
    <col min="6159" max="6160" width="20.1640625" style="72" customWidth="1"/>
    <col min="6161" max="6162" width="17.1640625" style="72" customWidth="1"/>
    <col min="6163" max="6163" width="21.5" style="72" customWidth="1"/>
    <col min="6164" max="6164" width="18.33203125" style="72" customWidth="1"/>
    <col min="6165" max="6165" width="28.5" style="72" customWidth="1"/>
    <col min="6166" max="6166" width="21" style="72" customWidth="1"/>
    <col min="6167" max="6167" width="17.5" style="72" customWidth="1"/>
    <col min="6168" max="6168" width="22.6640625" style="72" customWidth="1"/>
    <col min="6169" max="6169" width="17.1640625" style="72" customWidth="1"/>
    <col min="6170" max="6170" width="15.83203125" style="72" customWidth="1"/>
    <col min="6171" max="6171" width="15.5" style="72" customWidth="1"/>
    <col min="6172" max="6172" width="16" style="72" customWidth="1"/>
    <col min="6173" max="6173" width="9.1640625" style="72" customWidth="1"/>
    <col min="6174" max="6174" width="17.33203125" style="72" customWidth="1"/>
    <col min="6175" max="6175" width="16.5" style="72" bestFit="1" customWidth="1"/>
    <col min="6176" max="6176" width="10.83203125" style="72" bestFit="1" customWidth="1"/>
    <col min="6177" max="6413" width="9.1640625" style="72"/>
    <col min="6414" max="6414" width="29.33203125" style="72" customWidth="1"/>
    <col min="6415" max="6416" width="20.1640625" style="72" customWidth="1"/>
    <col min="6417" max="6418" width="17.1640625" style="72" customWidth="1"/>
    <col min="6419" max="6419" width="21.5" style="72" customWidth="1"/>
    <col min="6420" max="6420" width="18.33203125" style="72" customWidth="1"/>
    <col min="6421" max="6421" width="28.5" style="72" customWidth="1"/>
    <col min="6422" max="6422" width="21" style="72" customWidth="1"/>
    <col min="6423" max="6423" width="17.5" style="72" customWidth="1"/>
    <col min="6424" max="6424" width="22.6640625" style="72" customWidth="1"/>
    <col min="6425" max="6425" width="17.1640625" style="72" customWidth="1"/>
    <col min="6426" max="6426" width="15.83203125" style="72" customWidth="1"/>
    <col min="6427" max="6427" width="15.5" style="72" customWidth="1"/>
    <col min="6428" max="6428" width="16" style="72" customWidth="1"/>
    <col min="6429" max="6429" width="9.1640625" style="72" customWidth="1"/>
    <col min="6430" max="6430" width="17.33203125" style="72" customWidth="1"/>
    <col min="6431" max="6431" width="16.5" style="72" bestFit="1" customWidth="1"/>
    <col min="6432" max="6432" width="10.83203125" style="72" bestFit="1" customWidth="1"/>
    <col min="6433" max="6669" width="9.1640625" style="72"/>
    <col min="6670" max="6670" width="29.33203125" style="72" customWidth="1"/>
    <col min="6671" max="6672" width="20.1640625" style="72" customWidth="1"/>
    <col min="6673" max="6674" width="17.1640625" style="72" customWidth="1"/>
    <col min="6675" max="6675" width="21.5" style="72" customWidth="1"/>
    <col min="6676" max="6676" width="18.33203125" style="72" customWidth="1"/>
    <col min="6677" max="6677" width="28.5" style="72" customWidth="1"/>
    <col min="6678" max="6678" width="21" style="72" customWidth="1"/>
    <col min="6679" max="6679" width="17.5" style="72" customWidth="1"/>
    <col min="6680" max="6680" width="22.6640625" style="72" customWidth="1"/>
    <col min="6681" max="6681" width="17.1640625" style="72" customWidth="1"/>
    <col min="6682" max="6682" width="15.83203125" style="72" customWidth="1"/>
    <col min="6683" max="6683" width="15.5" style="72" customWidth="1"/>
    <col min="6684" max="6684" width="16" style="72" customWidth="1"/>
    <col min="6685" max="6685" width="9.1640625" style="72" customWidth="1"/>
    <col min="6686" max="6686" width="17.33203125" style="72" customWidth="1"/>
    <col min="6687" max="6687" width="16.5" style="72" bestFit="1" customWidth="1"/>
    <col min="6688" max="6688" width="10.83203125" style="72" bestFit="1" customWidth="1"/>
    <col min="6689" max="6925" width="9.1640625" style="72"/>
    <col min="6926" max="6926" width="29.33203125" style="72" customWidth="1"/>
    <col min="6927" max="6928" width="20.1640625" style="72" customWidth="1"/>
    <col min="6929" max="6930" width="17.1640625" style="72" customWidth="1"/>
    <col min="6931" max="6931" width="21.5" style="72" customWidth="1"/>
    <col min="6932" max="6932" width="18.33203125" style="72" customWidth="1"/>
    <col min="6933" max="6933" width="28.5" style="72" customWidth="1"/>
    <col min="6934" max="6934" width="21" style="72" customWidth="1"/>
    <col min="6935" max="6935" width="17.5" style="72" customWidth="1"/>
    <col min="6936" max="6936" width="22.6640625" style="72" customWidth="1"/>
    <col min="6937" max="6937" width="17.1640625" style="72" customWidth="1"/>
    <col min="6938" max="6938" width="15.83203125" style="72" customWidth="1"/>
    <col min="6939" max="6939" width="15.5" style="72" customWidth="1"/>
    <col min="6940" max="6940" width="16" style="72" customWidth="1"/>
    <col min="6941" max="6941" width="9.1640625" style="72" customWidth="1"/>
    <col min="6942" max="6942" width="17.33203125" style="72" customWidth="1"/>
    <col min="6943" max="6943" width="16.5" style="72" bestFit="1" customWidth="1"/>
    <col min="6944" max="6944" width="10.83203125" style="72" bestFit="1" customWidth="1"/>
    <col min="6945" max="7181" width="9.1640625" style="72"/>
    <col min="7182" max="7182" width="29.33203125" style="72" customWidth="1"/>
    <col min="7183" max="7184" width="20.1640625" style="72" customWidth="1"/>
    <col min="7185" max="7186" width="17.1640625" style="72" customWidth="1"/>
    <col min="7187" max="7187" width="21.5" style="72" customWidth="1"/>
    <col min="7188" max="7188" width="18.33203125" style="72" customWidth="1"/>
    <col min="7189" max="7189" width="28.5" style="72" customWidth="1"/>
    <col min="7190" max="7190" width="21" style="72" customWidth="1"/>
    <col min="7191" max="7191" width="17.5" style="72" customWidth="1"/>
    <col min="7192" max="7192" width="22.6640625" style="72" customWidth="1"/>
    <col min="7193" max="7193" width="17.1640625" style="72" customWidth="1"/>
    <col min="7194" max="7194" width="15.83203125" style="72" customWidth="1"/>
    <col min="7195" max="7195" width="15.5" style="72" customWidth="1"/>
    <col min="7196" max="7196" width="16" style="72" customWidth="1"/>
    <col min="7197" max="7197" width="9.1640625" style="72" customWidth="1"/>
    <col min="7198" max="7198" width="17.33203125" style="72" customWidth="1"/>
    <col min="7199" max="7199" width="16.5" style="72" bestFit="1" customWidth="1"/>
    <col min="7200" max="7200" width="10.83203125" style="72" bestFit="1" customWidth="1"/>
    <col min="7201" max="7437" width="9.1640625" style="72"/>
    <col min="7438" max="7438" width="29.33203125" style="72" customWidth="1"/>
    <col min="7439" max="7440" width="20.1640625" style="72" customWidth="1"/>
    <col min="7441" max="7442" width="17.1640625" style="72" customWidth="1"/>
    <col min="7443" max="7443" width="21.5" style="72" customWidth="1"/>
    <col min="7444" max="7444" width="18.33203125" style="72" customWidth="1"/>
    <col min="7445" max="7445" width="28.5" style="72" customWidth="1"/>
    <col min="7446" max="7446" width="21" style="72" customWidth="1"/>
    <col min="7447" max="7447" width="17.5" style="72" customWidth="1"/>
    <col min="7448" max="7448" width="22.6640625" style="72" customWidth="1"/>
    <col min="7449" max="7449" width="17.1640625" style="72" customWidth="1"/>
    <col min="7450" max="7450" width="15.83203125" style="72" customWidth="1"/>
    <col min="7451" max="7451" width="15.5" style="72" customWidth="1"/>
    <col min="7452" max="7452" width="16" style="72" customWidth="1"/>
    <col min="7453" max="7453" width="9.1640625" style="72" customWidth="1"/>
    <col min="7454" max="7454" width="17.33203125" style="72" customWidth="1"/>
    <col min="7455" max="7455" width="16.5" style="72" bestFit="1" customWidth="1"/>
    <col min="7456" max="7456" width="10.83203125" style="72" bestFit="1" customWidth="1"/>
    <col min="7457" max="7693" width="9.1640625" style="72"/>
    <col min="7694" max="7694" width="29.33203125" style="72" customWidth="1"/>
    <col min="7695" max="7696" width="20.1640625" style="72" customWidth="1"/>
    <col min="7697" max="7698" width="17.1640625" style="72" customWidth="1"/>
    <col min="7699" max="7699" width="21.5" style="72" customWidth="1"/>
    <col min="7700" max="7700" width="18.33203125" style="72" customWidth="1"/>
    <col min="7701" max="7701" width="28.5" style="72" customWidth="1"/>
    <col min="7702" max="7702" width="21" style="72" customWidth="1"/>
    <col min="7703" max="7703" width="17.5" style="72" customWidth="1"/>
    <col min="7704" max="7704" width="22.6640625" style="72" customWidth="1"/>
    <col min="7705" max="7705" width="17.1640625" style="72" customWidth="1"/>
    <col min="7706" max="7706" width="15.83203125" style="72" customWidth="1"/>
    <col min="7707" max="7707" width="15.5" style="72" customWidth="1"/>
    <col min="7708" max="7708" width="16" style="72" customWidth="1"/>
    <col min="7709" max="7709" width="9.1640625" style="72" customWidth="1"/>
    <col min="7710" max="7710" width="17.33203125" style="72" customWidth="1"/>
    <col min="7711" max="7711" width="16.5" style="72" bestFit="1" customWidth="1"/>
    <col min="7712" max="7712" width="10.83203125" style="72" bestFit="1" customWidth="1"/>
    <col min="7713" max="7949" width="9.1640625" style="72"/>
    <col min="7950" max="7950" width="29.33203125" style="72" customWidth="1"/>
    <col min="7951" max="7952" width="20.1640625" style="72" customWidth="1"/>
    <col min="7953" max="7954" width="17.1640625" style="72" customWidth="1"/>
    <col min="7955" max="7955" width="21.5" style="72" customWidth="1"/>
    <col min="7956" max="7956" width="18.33203125" style="72" customWidth="1"/>
    <col min="7957" max="7957" width="28.5" style="72" customWidth="1"/>
    <col min="7958" max="7958" width="21" style="72" customWidth="1"/>
    <col min="7959" max="7959" width="17.5" style="72" customWidth="1"/>
    <col min="7960" max="7960" width="22.6640625" style="72" customWidth="1"/>
    <col min="7961" max="7961" width="17.1640625" style="72" customWidth="1"/>
    <col min="7962" max="7962" width="15.83203125" style="72" customWidth="1"/>
    <col min="7963" max="7963" width="15.5" style="72" customWidth="1"/>
    <col min="7964" max="7964" width="16" style="72" customWidth="1"/>
    <col min="7965" max="7965" width="9.1640625" style="72" customWidth="1"/>
    <col min="7966" max="7966" width="17.33203125" style="72" customWidth="1"/>
    <col min="7967" max="7967" width="16.5" style="72" bestFit="1" customWidth="1"/>
    <col min="7968" max="7968" width="10.83203125" style="72" bestFit="1" customWidth="1"/>
    <col min="7969" max="8205" width="9.1640625" style="72"/>
    <col min="8206" max="8206" width="29.33203125" style="72" customWidth="1"/>
    <col min="8207" max="8208" width="20.1640625" style="72" customWidth="1"/>
    <col min="8209" max="8210" width="17.1640625" style="72" customWidth="1"/>
    <col min="8211" max="8211" width="21.5" style="72" customWidth="1"/>
    <col min="8212" max="8212" width="18.33203125" style="72" customWidth="1"/>
    <col min="8213" max="8213" width="28.5" style="72" customWidth="1"/>
    <col min="8214" max="8214" width="21" style="72" customWidth="1"/>
    <col min="8215" max="8215" width="17.5" style="72" customWidth="1"/>
    <col min="8216" max="8216" width="22.6640625" style="72" customWidth="1"/>
    <col min="8217" max="8217" width="17.1640625" style="72" customWidth="1"/>
    <col min="8218" max="8218" width="15.83203125" style="72" customWidth="1"/>
    <col min="8219" max="8219" width="15.5" style="72" customWidth="1"/>
    <col min="8220" max="8220" width="16" style="72" customWidth="1"/>
    <col min="8221" max="8221" width="9.1640625" style="72" customWidth="1"/>
    <col min="8222" max="8222" width="17.33203125" style="72" customWidth="1"/>
    <col min="8223" max="8223" width="16.5" style="72" bestFit="1" customWidth="1"/>
    <col min="8224" max="8224" width="10.83203125" style="72" bestFit="1" customWidth="1"/>
    <col min="8225" max="8461" width="9.1640625" style="72"/>
    <col min="8462" max="8462" width="29.33203125" style="72" customWidth="1"/>
    <col min="8463" max="8464" width="20.1640625" style="72" customWidth="1"/>
    <col min="8465" max="8466" width="17.1640625" style="72" customWidth="1"/>
    <col min="8467" max="8467" width="21.5" style="72" customWidth="1"/>
    <col min="8468" max="8468" width="18.33203125" style="72" customWidth="1"/>
    <col min="8469" max="8469" width="28.5" style="72" customWidth="1"/>
    <col min="8470" max="8470" width="21" style="72" customWidth="1"/>
    <col min="8471" max="8471" width="17.5" style="72" customWidth="1"/>
    <col min="8472" max="8472" width="22.6640625" style="72" customWidth="1"/>
    <col min="8473" max="8473" width="17.1640625" style="72" customWidth="1"/>
    <col min="8474" max="8474" width="15.83203125" style="72" customWidth="1"/>
    <col min="8475" max="8475" width="15.5" style="72" customWidth="1"/>
    <col min="8476" max="8476" width="16" style="72" customWidth="1"/>
    <col min="8477" max="8477" width="9.1640625" style="72" customWidth="1"/>
    <col min="8478" max="8478" width="17.33203125" style="72" customWidth="1"/>
    <col min="8479" max="8479" width="16.5" style="72" bestFit="1" customWidth="1"/>
    <col min="8480" max="8480" width="10.83203125" style="72" bestFit="1" customWidth="1"/>
    <col min="8481" max="8717" width="9.1640625" style="72"/>
    <col min="8718" max="8718" width="29.33203125" style="72" customWidth="1"/>
    <col min="8719" max="8720" width="20.1640625" style="72" customWidth="1"/>
    <col min="8721" max="8722" width="17.1640625" style="72" customWidth="1"/>
    <col min="8723" max="8723" width="21.5" style="72" customWidth="1"/>
    <col min="8724" max="8724" width="18.33203125" style="72" customWidth="1"/>
    <col min="8725" max="8725" width="28.5" style="72" customWidth="1"/>
    <col min="8726" max="8726" width="21" style="72" customWidth="1"/>
    <col min="8727" max="8727" width="17.5" style="72" customWidth="1"/>
    <col min="8728" max="8728" width="22.6640625" style="72" customWidth="1"/>
    <col min="8729" max="8729" width="17.1640625" style="72" customWidth="1"/>
    <col min="8730" max="8730" width="15.83203125" style="72" customWidth="1"/>
    <col min="8731" max="8731" width="15.5" style="72" customWidth="1"/>
    <col min="8732" max="8732" width="16" style="72" customWidth="1"/>
    <col min="8733" max="8733" width="9.1640625" style="72" customWidth="1"/>
    <col min="8734" max="8734" width="17.33203125" style="72" customWidth="1"/>
    <col min="8735" max="8735" width="16.5" style="72" bestFit="1" customWidth="1"/>
    <col min="8736" max="8736" width="10.83203125" style="72" bestFit="1" customWidth="1"/>
    <col min="8737" max="8973" width="9.1640625" style="72"/>
    <col min="8974" max="8974" width="29.33203125" style="72" customWidth="1"/>
    <col min="8975" max="8976" width="20.1640625" style="72" customWidth="1"/>
    <col min="8977" max="8978" width="17.1640625" style="72" customWidth="1"/>
    <col min="8979" max="8979" width="21.5" style="72" customWidth="1"/>
    <col min="8980" max="8980" width="18.33203125" style="72" customWidth="1"/>
    <col min="8981" max="8981" width="28.5" style="72" customWidth="1"/>
    <col min="8982" max="8982" width="21" style="72" customWidth="1"/>
    <col min="8983" max="8983" width="17.5" style="72" customWidth="1"/>
    <col min="8984" max="8984" width="22.6640625" style="72" customWidth="1"/>
    <col min="8985" max="8985" width="17.1640625" style="72" customWidth="1"/>
    <col min="8986" max="8986" width="15.83203125" style="72" customWidth="1"/>
    <col min="8987" max="8987" width="15.5" style="72" customWidth="1"/>
    <col min="8988" max="8988" width="16" style="72" customWidth="1"/>
    <col min="8989" max="8989" width="9.1640625" style="72" customWidth="1"/>
    <col min="8990" max="8990" width="17.33203125" style="72" customWidth="1"/>
    <col min="8991" max="8991" width="16.5" style="72" bestFit="1" customWidth="1"/>
    <col min="8992" max="8992" width="10.83203125" style="72" bestFit="1" customWidth="1"/>
    <col min="8993" max="9229" width="9.1640625" style="72"/>
    <col min="9230" max="9230" width="29.33203125" style="72" customWidth="1"/>
    <col min="9231" max="9232" width="20.1640625" style="72" customWidth="1"/>
    <col min="9233" max="9234" width="17.1640625" style="72" customWidth="1"/>
    <col min="9235" max="9235" width="21.5" style="72" customWidth="1"/>
    <col min="9236" max="9236" width="18.33203125" style="72" customWidth="1"/>
    <col min="9237" max="9237" width="28.5" style="72" customWidth="1"/>
    <col min="9238" max="9238" width="21" style="72" customWidth="1"/>
    <col min="9239" max="9239" width="17.5" style="72" customWidth="1"/>
    <col min="9240" max="9240" width="22.6640625" style="72" customWidth="1"/>
    <col min="9241" max="9241" width="17.1640625" style="72" customWidth="1"/>
    <col min="9242" max="9242" width="15.83203125" style="72" customWidth="1"/>
    <col min="9243" max="9243" width="15.5" style="72" customWidth="1"/>
    <col min="9244" max="9244" width="16" style="72" customWidth="1"/>
    <col min="9245" max="9245" width="9.1640625" style="72" customWidth="1"/>
    <col min="9246" max="9246" width="17.33203125" style="72" customWidth="1"/>
    <col min="9247" max="9247" width="16.5" style="72" bestFit="1" customWidth="1"/>
    <col min="9248" max="9248" width="10.83203125" style="72" bestFit="1" customWidth="1"/>
    <col min="9249" max="9485" width="9.1640625" style="72"/>
    <col min="9486" max="9486" width="29.33203125" style="72" customWidth="1"/>
    <col min="9487" max="9488" width="20.1640625" style="72" customWidth="1"/>
    <col min="9489" max="9490" width="17.1640625" style="72" customWidth="1"/>
    <col min="9491" max="9491" width="21.5" style="72" customWidth="1"/>
    <col min="9492" max="9492" width="18.33203125" style="72" customWidth="1"/>
    <col min="9493" max="9493" width="28.5" style="72" customWidth="1"/>
    <col min="9494" max="9494" width="21" style="72" customWidth="1"/>
    <col min="9495" max="9495" width="17.5" style="72" customWidth="1"/>
    <col min="9496" max="9496" width="22.6640625" style="72" customWidth="1"/>
    <col min="9497" max="9497" width="17.1640625" style="72" customWidth="1"/>
    <col min="9498" max="9498" width="15.83203125" style="72" customWidth="1"/>
    <col min="9499" max="9499" width="15.5" style="72" customWidth="1"/>
    <col min="9500" max="9500" width="16" style="72" customWidth="1"/>
    <col min="9501" max="9501" width="9.1640625" style="72" customWidth="1"/>
    <col min="9502" max="9502" width="17.33203125" style="72" customWidth="1"/>
    <col min="9503" max="9503" width="16.5" style="72" bestFit="1" customWidth="1"/>
    <col min="9504" max="9504" width="10.83203125" style="72" bestFit="1" customWidth="1"/>
    <col min="9505" max="9741" width="9.1640625" style="72"/>
    <col min="9742" max="9742" width="29.33203125" style="72" customWidth="1"/>
    <col min="9743" max="9744" width="20.1640625" style="72" customWidth="1"/>
    <col min="9745" max="9746" width="17.1640625" style="72" customWidth="1"/>
    <col min="9747" max="9747" width="21.5" style="72" customWidth="1"/>
    <col min="9748" max="9748" width="18.33203125" style="72" customWidth="1"/>
    <col min="9749" max="9749" width="28.5" style="72" customWidth="1"/>
    <col min="9750" max="9750" width="21" style="72" customWidth="1"/>
    <col min="9751" max="9751" width="17.5" style="72" customWidth="1"/>
    <col min="9752" max="9752" width="22.6640625" style="72" customWidth="1"/>
    <col min="9753" max="9753" width="17.1640625" style="72" customWidth="1"/>
    <col min="9754" max="9754" width="15.83203125" style="72" customWidth="1"/>
    <col min="9755" max="9755" width="15.5" style="72" customWidth="1"/>
    <col min="9756" max="9756" width="16" style="72" customWidth="1"/>
    <col min="9757" max="9757" width="9.1640625" style="72" customWidth="1"/>
    <col min="9758" max="9758" width="17.33203125" style="72" customWidth="1"/>
    <col min="9759" max="9759" width="16.5" style="72" bestFit="1" customWidth="1"/>
    <col min="9760" max="9760" width="10.83203125" style="72" bestFit="1" customWidth="1"/>
    <col min="9761" max="9997" width="9.1640625" style="72"/>
    <col min="9998" max="9998" width="29.33203125" style="72" customWidth="1"/>
    <col min="9999" max="10000" width="20.1640625" style="72" customWidth="1"/>
    <col min="10001" max="10002" width="17.1640625" style="72" customWidth="1"/>
    <col min="10003" max="10003" width="21.5" style="72" customWidth="1"/>
    <col min="10004" max="10004" width="18.33203125" style="72" customWidth="1"/>
    <col min="10005" max="10005" width="28.5" style="72" customWidth="1"/>
    <col min="10006" max="10006" width="21" style="72" customWidth="1"/>
    <col min="10007" max="10007" width="17.5" style="72" customWidth="1"/>
    <col min="10008" max="10008" width="22.6640625" style="72" customWidth="1"/>
    <col min="10009" max="10009" width="17.1640625" style="72" customWidth="1"/>
    <col min="10010" max="10010" width="15.83203125" style="72" customWidth="1"/>
    <col min="10011" max="10011" width="15.5" style="72" customWidth="1"/>
    <col min="10012" max="10012" width="16" style="72" customWidth="1"/>
    <col min="10013" max="10013" width="9.1640625" style="72" customWidth="1"/>
    <col min="10014" max="10014" width="17.33203125" style="72" customWidth="1"/>
    <col min="10015" max="10015" width="16.5" style="72" bestFit="1" customWidth="1"/>
    <col min="10016" max="10016" width="10.83203125" style="72" bestFit="1" customWidth="1"/>
    <col min="10017" max="10253" width="9.1640625" style="72"/>
    <col min="10254" max="10254" width="29.33203125" style="72" customWidth="1"/>
    <col min="10255" max="10256" width="20.1640625" style="72" customWidth="1"/>
    <col min="10257" max="10258" width="17.1640625" style="72" customWidth="1"/>
    <col min="10259" max="10259" width="21.5" style="72" customWidth="1"/>
    <col min="10260" max="10260" width="18.33203125" style="72" customWidth="1"/>
    <col min="10261" max="10261" width="28.5" style="72" customWidth="1"/>
    <col min="10262" max="10262" width="21" style="72" customWidth="1"/>
    <col min="10263" max="10263" width="17.5" style="72" customWidth="1"/>
    <col min="10264" max="10264" width="22.6640625" style="72" customWidth="1"/>
    <col min="10265" max="10265" width="17.1640625" style="72" customWidth="1"/>
    <col min="10266" max="10266" width="15.83203125" style="72" customWidth="1"/>
    <col min="10267" max="10267" width="15.5" style="72" customWidth="1"/>
    <col min="10268" max="10268" width="16" style="72" customWidth="1"/>
    <col min="10269" max="10269" width="9.1640625" style="72" customWidth="1"/>
    <col min="10270" max="10270" width="17.33203125" style="72" customWidth="1"/>
    <col min="10271" max="10271" width="16.5" style="72" bestFit="1" customWidth="1"/>
    <col min="10272" max="10272" width="10.83203125" style="72" bestFit="1" customWidth="1"/>
    <col min="10273" max="10509" width="9.1640625" style="72"/>
    <col min="10510" max="10510" width="29.33203125" style="72" customWidth="1"/>
    <col min="10511" max="10512" width="20.1640625" style="72" customWidth="1"/>
    <col min="10513" max="10514" width="17.1640625" style="72" customWidth="1"/>
    <col min="10515" max="10515" width="21.5" style="72" customWidth="1"/>
    <col min="10516" max="10516" width="18.33203125" style="72" customWidth="1"/>
    <col min="10517" max="10517" width="28.5" style="72" customWidth="1"/>
    <col min="10518" max="10518" width="21" style="72" customWidth="1"/>
    <col min="10519" max="10519" width="17.5" style="72" customWidth="1"/>
    <col min="10520" max="10520" width="22.6640625" style="72" customWidth="1"/>
    <col min="10521" max="10521" width="17.1640625" style="72" customWidth="1"/>
    <col min="10522" max="10522" width="15.83203125" style="72" customWidth="1"/>
    <col min="10523" max="10523" width="15.5" style="72" customWidth="1"/>
    <col min="10524" max="10524" width="16" style="72" customWidth="1"/>
    <col min="10525" max="10525" width="9.1640625" style="72" customWidth="1"/>
    <col min="10526" max="10526" width="17.33203125" style="72" customWidth="1"/>
    <col min="10527" max="10527" width="16.5" style="72" bestFit="1" customWidth="1"/>
    <col min="10528" max="10528" width="10.83203125" style="72" bestFit="1" customWidth="1"/>
    <col min="10529" max="10765" width="9.1640625" style="72"/>
    <col min="10766" max="10766" width="29.33203125" style="72" customWidth="1"/>
    <col min="10767" max="10768" width="20.1640625" style="72" customWidth="1"/>
    <col min="10769" max="10770" width="17.1640625" style="72" customWidth="1"/>
    <col min="10771" max="10771" width="21.5" style="72" customWidth="1"/>
    <col min="10772" max="10772" width="18.33203125" style="72" customWidth="1"/>
    <col min="10773" max="10773" width="28.5" style="72" customWidth="1"/>
    <col min="10774" max="10774" width="21" style="72" customWidth="1"/>
    <col min="10775" max="10775" width="17.5" style="72" customWidth="1"/>
    <col min="10776" max="10776" width="22.6640625" style="72" customWidth="1"/>
    <col min="10777" max="10777" width="17.1640625" style="72" customWidth="1"/>
    <col min="10778" max="10778" width="15.83203125" style="72" customWidth="1"/>
    <col min="10779" max="10779" width="15.5" style="72" customWidth="1"/>
    <col min="10780" max="10780" width="16" style="72" customWidth="1"/>
    <col min="10781" max="10781" width="9.1640625" style="72" customWidth="1"/>
    <col min="10782" max="10782" width="17.33203125" style="72" customWidth="1"/>
    <col min="10783" max="10783" width="16.5" style="72" bestFit="1" customWidth="1"/>
    <col min="10784" max="10784" width="10.83203125" style="72" bestFit="1" customWidth="1"/>
    <col min="10785" max="11021" width="9.1640625" style="72"/>
    <col min="11022" max="11022" width="29.33203125" style="72" customWidth="1"/>
    <col min="11023" max="11024" width="20.1640625" style="72" customWidth="1"/>
    <col min="11025" max="11026" width="17.1640625" style="72" customWidth="1"/>
    <col min="11027" max="11027" width="21.5" style="72" customWidth="1"/>
    <col min="11028" max="11028" width="18.33203125" style="72" customWidth="1"/>
    <col min="11029" max="11029" width="28.5" style="72" customWidth="1"/>
    <col min="11030" max="11030" width="21" style="72" customWidth="1"/>
    <col min="11031" max="11031" width="17.5" style="72" customWidth="1"/>
    <col min="11032" max="11032" width="22.6640625" style="72" customWidth="1"/>
    <col min="11033" max="11033" width="17.1640625" style="72" customWidth="1"/>
    <col min="11034" max="11034" width="15.83203125" style="72" customWidth="1"/>
    <col min="11035" max="11035" width="15.5" style="72" customWidth="1"/>
    <col min="11036" max="11036" width="16" style="72" customWidth="1"/>
    <col min="11037" max="11037" width="9.1640625" style="72" customWidth="1"/>
    <col min="11038" max="11038" width="17.33203125" style="72" customWidth="1"/>
    <col min="11039" max="11039" width="16.5" style="72" bestFit="1" customWidth="1"/>
    <col min="11040" max="11040" width="10.83203125" style="72" bestFit="1" customWidth="1"/>
    <col min="11041" max="11277" width="9.1640625" style="72"/>
    <col min="11278" max="11278" width="29.33203125" style="72" customWidth="1"/>
    <col min="11279" max="11280" width="20.1640625" style="72" customWidth="1"/>
    <col min="11281" max="11282" width="17.1640625" style="72" customWidth="1"/>
    <col min="11283" max="11283" width="21.5" style="72" customWidth="1"/>
    <col min="11284" max="11284" width="18.33203125" style="72" customWidth="1"/>
    <col min="11285" max="11285" width="28.5" style="72" customWidth="1"/>
    <col min="11286" max="11286" width="21" style="72" customWidth="1"/>
    <col min="11287" max="11287" width="17.5" style="72" customWidth="1"/>
    <col min="11288" max="11288" width="22.6640625" style="72" customWidth="1"/>
    <col min="11289" max="11289" width="17.1640625" style="72" customWidth="1"/>
    <col min="11290" max="11290" width="15.83203125" style="72" customWidth="1"/>
    <col min="11291" max="11291" width="15.5" style="72" customWidth="1"/>
    <col min="11292" max="11292" width="16" style="72" customWidth="1"/>
    <col min="11293" max="11293" width="9.1640625" style="72" customWidth="1"/>
    <col min="11294" max="11294" width="17.33203125" style="72" customWidth="1"/>
    <col min="11295" max="11295" width="16.5" style="72" bestFit="1" customWidth="1"/>
    <col min="11296" max="11296" width="10.83203125" style="72" bestFit="1" customWidth="1"/>
    <col min="11297" max="11533" width="9.1640625" style="72"/>
    <col min="11534" max="11534" width="29.33203125" style="72" customWidth="1"/>
    <col min="11535" max="11536" width="20.1640625" style="72" customWidth="1"/>
    <col min="11537" max="11538" width="17.1640625" style="72" customWidth="1"/>
    <col min="11539" max="11539" width="21.5" style="72" customWidth="1"/>
    <col min="11540" max="11540" width="18.33203125" style="72" customWidth="1"/>
    <col min="11541" max="11541" width="28.5" style="72" customWidth="1"/>
    <col min="11542" max="11542" width="21" style="72" customWidth="1"/>
    <col min="11543" max="11543" width="17.5" style="72" customWidth="1"/>
    <col min="11544" max="11544" width="22.6640625" style="72" customWidth="1"/>
    <col min="11545" max="11545" width="17.1640625" style="72" customWidth="1"/>
    <col min="11546" max="11546" width="15.83203125" style="72" customWidth="1"/>
    <col min="11547" max="11547" width="15.5" style="72" customWidth="1"/>
    <col min="11548" max="11548" width="16" style="72" customWidth="1"/>
    <col min="11549" max="11549" width="9.1640625" style="72" customWidth="1"/>
    <col min="11550" max="11550" width="17.33203125" style="72" customWidth="1"/>
    <col min="11551" max="11551" width="16.5" style="72" bestFit="1" customWidth="1"/>
    <col min="11552" max="11552" width="10.83203125" style="72" bestFit="1" customWidth="1"/>
    <col min="11553" max="11789" width="9.1640625" style="72"/>
    <col min="11790" max="11790" width="29.33203125" style="72" customWidth="1"/>
    <col min="11791" max="11792" width="20.1640625" style="72" customWidth="1"/>
    <col min="11793" max="11794" width="17.1640625" style="72" customWidth="1"/>
    <col min="11795" max="11795" width="21.5" style="72" customWidth="1"/>
    <col min="11796" max="11796" width="18.33203125" style="72" customWidth="1"/>
    <col min="11797" max="11797" width="28.5" style="72" customWidth="1"/>
    <col min="11798" max="11798" width="21" style="72" customWidth="1"/>
    <col min="11799" max="11799" width="17.5" style="72" customWidth="1"/>
    <col min="11800" max="11800" width="22.6640625" style="72" customWidth="1"/>
    <col min="11801" max="11801" width="17.1640625" style="72" customWidth="1"/>
    <col min="11802" max="11802" width="15.83203125" style="72" customWidth="1"/>
    <col min="11803" max="11803" width="15.5" style="72" customWidth="1"/>
    <col min="11804" max="11804" width="16" style="72" customWidth="1"/>
    <col min="11805" max="11805" width="9.1640625" style="72" customWidth="1"/>
    <col min="11806" max="11806" width="17.33203125" style="72" customWidth="1"/>
    <col min="11807" max="11807" width="16.5" style="72" bestFit="1" customWidth="1"/>
    <col min="11808" max="11808" width="10.83203125" style="72" bestFit="1" customWidth="1"/>
    <col min="11809" max="12045" width="9.1640625" style="72"/>
    <col min="12046" max="12046" width="29.33203125" style="72" customWidth="1"/>
    <col min="12047" max="12048" width="20.1640625" style="72" customWidth="1"/>
    <col min="12049" max="12050" width="17.1640625" style="72" customWidth="1"/>
    <col min="12051" max="12051" width="21.5" style="72" customWidth="1"/>
    <col min="12052" max="12052" width="18.33203125" style="72" customWidth="1"/>
    <col min="12053" max="12053" width="28.5" style="72" customWidth="1"/>
    <col min="12054" max="12054" width="21" style="72" customWidth="1"/>
    <col min="12055" max="12055" width="17.5" style="72" customWidth="1"/>
    <col min="12056" max="12056" width="22.6640625" style="72" customWidth="1"/>
    <col min="12057" max="12057" width="17.1640625" style="72" customWidth="1"/>
    <col min="12058" max="12058" width="15.83203125" style="72" customWidth="1"/>
    <col min="12059" max="12059" width="15.5" style="72" customWidth="1"/>
    <col min="12060" max="12060" width="16" style="72" customWidth="1"/>
    <col min="12061" max="12061" width="9.1640625" style="72" customWidth="1"/>
    <col min="12062" max="12062" width="17.33203125" style="72" customWidth="1"/>
    <col min="12063" max="12063" width="16.5" style="72" bestFit="1" customWidth="1"/>
    <col min="12064" max="12064" width="10.83203125" style="72" bestFit="1" customWidth="1"/>
    <col min="12065" max="12301" width="9.1640625" style="72"/>
    <col min="12302" max="12302" width="29.33203125" style="72" customWidth="1"/>
    <col min="12303" max="12304" width="20.1640625" style="72" customWidth="1"/>
    <col min="12305" max="12306" width="17.1640625" style="72" customWidth="1"/>
    <col min="12307" max="12307" width="21.5" style="72" customWidth="1"/>
    <col min="12308" max="12308" width="18.33203125" style="72" customWidth="1"/>
    <col min="12309" max="12309" width="28.5" style="72" customWidth="1"/>
    <col min="12310" max="12310" width="21" style="72" customWidth="1"/>
    <col min="12311" max="12311" width="17.5" style="72" customWidth="1"/>
    <col min="12312" max="12312" width="22.6640625" style="72" customWidth="1"/>
    <col min="12313" max="12313" width="17.1640625" style="72" customWidth="1"/>
    <col min="12314" max="12314" width="15.83203125" style="72" customWidth="1"/>
    <col min="12315" max="12315" width="15.5" style="72" customWidth="1"/>
    <col min="12316" max="12316" width="16" style="72" customWidth="1"/>
    <col min="12317" max="12317" width="9.1640625" style="72" customWidth="1"/>
    <col min="12318" max="12318" width="17.33203125" style="72" customWidth="1"/>
    <col min="12319" max="12319" width="16.5" style="72" bestFit="1" customWidth="1"/>
    <col min="12320" max="12320" width="10.83203125" style="72" bestFit="1" customWidth="1"/>
    <col min="12321" max="12557" width="9.1640625" style="72"/>
    <col min="12558" max="12558" width="29.33203125" style="72" customWidth="1"/>
    <col min="12559" max="12560" width="20.1640625" style="72" customWidth="1"/>
    <col min="12561" max="12562" width="17.1640625" style="72" customWidth="1"/>
    <col min="12563" max="12563" width="21.5" style="72" customWidth="1"/>
    <col min="12564" max="12564" width="18.33203125" style="72" customWidth="1"/>
    <col min="12565" max="12565" width="28.5" style="72" customWidth="1"/>
    <col min="12566" max="12566" width="21" style="72" customWidth="1"/>
    <col min="12567" max="12567" width="17.5" style="72" customWidth="1"/>
    <col min="12568" max="12568" width="22.6640625" style="72" customWidth="1"/>
    <col min="12569" max="12569" width="17.1640625" style="72" customWidth="1"/>
    <col min="12570" max="12570" width="15.83203125" style="72" customWidth="1"/>
    <col min="12571" max="12571" width="15.5" style="72" customWidth="1"/>
    <col min="12572" max="12572" width="16" style="72" customWidth="1"/>
    <col min="12573" max="12573" width="9.1640625" style="72" customWidth="1"/>
    <col min="12574" max="12574" width="17.33203125" style="72" customWidth="1"/>
    <col min="12575" max="12575" width="16.5" style="72" bestFit="1" customWidth="1"/>
    <col min="12576" max="12576" width="10.83203125" style="72" bestFit="1" customWidth="1"/>
    <col min="12577" max="12813" width="9.1640625" style="72"/>
    <col min="12814" max="12814" width="29.33203125" style="72" customWidth="1"/>
    <col min="12815" max="12816" width="20.1640625" style="72" customWidth="1"/>
    <col min="12817" max="12818" width="17.1640625" style="72" customWidth="1"/>
    <col min="12819" max="12819" width="21.5" style="72" customWidth="1"/>
    <col min="12820" max="12820" width="18.33203125" style="72" customWidth="1"/>
    <col min="12821" max="12821" width="28.5" style="72" customWidth="1"/>
    <col min="12822" max="12822" width="21" style="72" customWidth="1"/>
    <col min="12823" max="12823" width="17.5" style="72" customWidth="1"/>
    <col min="12824" max="12824" width="22.6640625" style="72" customWidth="1"/>
    <col min="12825" max="12825" width="17.1640625" style="72" customWidth="1"/>
    <col min="12826" max="12826" width="15.83203125" style="72" customWidth="1"/>
    <col min="12827" max="12827" width="15.5" style="72" customWidth="1"/>
    <col min="12828" max="12828" width="16" style="72" customWidth="1"/>
    <col min="12829" max="12829" width="9.1640625" style="72" customWidth="1"/>
    <col min="12830" max="12830" width="17.33203125" style="72" customWidth="1"/>
    <col min="12831" max="12831" width="16.5" style="72" bestFit="1" customWidth="1"/>
    <col min="12832" max="12832" width="10.83203125" style="72" bestFit="1" customWidth="1"/>
    <col min="12833" max="13069" width="9.1640625" style="72"/>
    <col min="13070" max="13070" width="29.33203125" style="72" customWidth="1"/>
    <col min="13071" max="13072" width="20.1640625" style="72" customWidth="1"/>
    <col min="13073" max="13074" width="17.1640625" style="72" customWidth="1"/>
    <col min="13075" max="13075" width="21.5" style="72" customWidth="1"/>
    <col min="13076" max="13076" width="18.33203125" style="72" customWidth="1"/>
    <col min="13077" max="13077" width="28.5" style="72" customWidth="1"/>
    <col min="13078" max="13078" width="21" style="72" customWidth="1"/>
    <col min="13079" max="13079" width="17.5" style="72" customWidth="1"/>
    <col min="13080" max="13080" width="22.6640625" style="72" customWidth="1"/>
    <col min="13081" max="13081" width="17.1640625" style="72" customWidth="1"/>
    <col min="13082" max="13082" width="15.83203125" style="72" customWidth="1"/>
    <col min="13083" max="13083" width="15.5" style="72" customWidth="1"/>
    <col min="13084" max="13084" width="16" style="72" customWidth="1"/>
    <col min="13085" max="13085" width="9.1640625" style="72" customWidth="1"/>
    <col min="13086" max="13086" width="17.33203125" style="72" customWidth="1"/>
    <col min="13087" max="13087" width="16.5" style="72" bestFit="1" customWidth="1"/>
    <col min="13088" max="13088" width="10.83203125" style="72" bestFit="1" customWidth="1"/>
    <col min="13089" max="13325" width="9.1640625" style="72"/>
    <col min="13326" max="13326" width="29.33203125" style="72" customWidth="1"/>
    <col min="13327" max="13328" width="20.1640625" style="72" customWidth="1"/>
    <col min="13329" max="13330" width="17.1640625" style="72" customWidth="1"/>
    <col min="13331" max="13331" width="21.5" style="72" customWidth="1"/>
    <col min="13332" max="13332" width="18.33203125" style="72" customWidth="1"/>
    <col min="13333" max="13333" width="28.5" style="72" customWidth="1"/>
    <col min="13334" max="13334" width="21" style="72" customWidth="1"/>
    <col min="13335" max="13335" width="17.5" style="72" customWidth="1"/>
    <col min="13336" max="13336" width="22.6640625" style="72" customWidth="1"/>
    <col min="13337" max="13337" width="17.1640625" style="72" customWidth="1"/>
    <col min="13338" max="13338" width="15.83203125" style="72" customWidth="1"/>
    <col min="13339" max="13339" width="15.5" style="72" customWidth="1"/>
    <col min="13340" max="13340" width="16" style="72" customWidth="1"/>
    <col min="13341" max="13341" width="9.1640625" style="72" customWidth="1"/>
    <col min="13342" max="13342" width="17.33203125" style="72" customWidth="1"/>
    <col min="13343" max="13343" width="16.5" style="72" bestFit="1" customWidth="1"/>
    <col min="13344" max="13344" width="10.83203125" style="72" bestFit="1" customWidth="1"/>
    <col min="13345" max="13581" width="9.1640625" style="72"/>
    <col min="13582" max="13582" width="29.33203125" style="72" customWidth="1"/>
    <col min="13583" max="13584" width="20.1640625" style="72" customWidth="1"/>
    <col min="13585" max="13586" width="17.1640625" style="72" customWidth="1"/>
    <col min="13587" max="13587" width="21.5" style="72" customWidth="1"/>
    <col min="13588" max="13588" width="18.33203125" style="72" customWidth="1"/>
    <col min="13589" max="13589" width="28.5" style="72" customWidth="1"/>
    <col min="13590" max="13590" width="21" style="72" customWidth="1"/>
    <col min="13591" max="13591" width="17.5" style="72" customWidth="1"/>
    <col min="13592" max="13592" width="22.6640625" style="72" customWidth="1"/>
    <col min="13593" max="13593" width="17.1640625" style="72" customWidth="1"/>
    <col min="13594" max="13594" width="15.83203125" style="72" customWidth="1"/>
    <col min="13595" max="13595" width="15.5" style="72" customWidth="1"/>
    <col min="13596" max="13596" width="16" style="72" customWidth="1"/>
    <col min="13597" max="13597" width="9.1640625" style="72" customWidth="1"/>
    <col min="13598" max="13598" width="17.33203125" style="72" customWidth="1"/>
    <col min="13599" max="13599" width="16.5" style="72" bestFit="1" customWidth="1"/>
    <col min="13600" max="13600" width="10.83203125" style="72" bestFit="1" customWidth="1"/>
    <col min="13601" max="13837" width="9.1640625" style="72"/>
    <col min="13838" max="13838" width="29.33203125" style="72" customWidth="1"/>
    <col min="13839" max="13840" width="20.1640625" style="72" customWidth="1"/>
    <col min="13841" max="13842" width="17.1640625" style="72" customWidth="1"/>
    <col min="13843" max="13843" width="21.5" style="72" customWidth="1"/>
    <col min="13844" max="13844" width="18.33203125" style="72" customWidth="1"/>
    <col min="13845" max="13845" width="28.5" style="72" customWidth="1"/>
    <col min="13846" max="13846" width="21" style="72" customWidth="1"/>
    <col min="13847" max="13847" width="17.5" style="72" customWidth="1"/>
    <col min="13848" max="13848" width="22.6640625" style="72" customWidth="1"/>
    <col min="13849" max="13849" width="17.1640625" style="72" customWidth="1"/>
    <col min="13850" max="13850" width="15.83203125" style="72" customWidth="1"/>
    <col min="13851" max="13851" width="15.5" style="72" customWidth="1"/>
    <col min="13852" max="13852" width="16" style="72" customWidth="1"/>
    <col min="13853" max="13853" width="9.1640625" style="72" customWidth="1"/>
    <col min="13854" max="13854" width="17.33203125" style="72" customWidth="1"/>
    <col min="13855" max="13855" width="16.5" style="72" bestFit="1" customWidth="1"/>
    <col min="13856" max="13856" width="10.83203125" style="72" bestFit="1" customWidth="1"/>
    <col min="13857" max="14093" width="9.1640625" style="72"/>
    <col min="14094" max="14094" width="29.33203125" style="72" customWidth="1"/>
    <col min="14095" max="14096" width="20.1640625" style="72" customWidth="1"/>
    <col min="14097" max="14098" width="17.1640625" style="72" customWidth="1"/>
    <col min="14099" max="14099" width="21.5" style="72" customWidth="1"/>
    <col min="14100" max="14100" width="18.33203125" style="72" customWidth="1"/>
    <col min="14101" max="14101" width="28.5" style="72" customWidth="1"/>
    <col min="14102" max="14102" width="21" style="72" customWidth="1"/>
    <col min="14103" max="14103" width="17.5" style="72" customWidth="1"/>
    <col min="14104" max="14104" width="22.6640625" style="72" customWidth="1"/>
    <col min="14105" max="14105" width="17.1640625" style="72" customWidth="1"/>
    <col min="14106" max="14106" width="15.83203125" style="72" customWidth="1"/>
    <col min="14107" max="14107" width="15.5" style="72" customWidth="1"/>
    <col min="14108" max="14108" width="16" style="72" customWidth="1"/>
    <col min="14109" max="14109" width="9.1640625" style="72" customWidth="1"/>
    <col min="14110" max="14110" width="17.33203125" style="72" customWidth="1"/>
    <col min="14111" max="14111" width="16.5" style="72" bestFit="1" customWidth="1"/>
    <col min="14112" max="14112" width="10.83203125" style="72" bestFit="1" customWidth="1"/>
    <col min="14113" max="14349" width="9.1640625" style="72"/>
    <col min="14350" max="14350" width="29.33203125" style="72" customWidth="1"/>
    <col min="14351" max="14352" width="20.1640625" style="72" customWidth="1"/>
    <col min="14353" max="14354" width="17.1640625" style="72" customWidth="1"/>
    <col min="14355" max="14355" width="21.5" style="72" customWidth="1"/>
    <col min="14356" max="14356" width="18.33203125" style="72" customWidth="1"/>
    <col min="14357" max="14357" width="28.5" style="72" customWidth="1"/>
    <col min="14358" max="14358" width="21" style="72" customWidth="1"/>
    <col min="14359" max="14359" width="17.5" style="72" customWidth="1"/>
    <col min="14360" max="14360" width="22.6640625" style="72" customWidth="1"/>
    <col min="14361" max="14361" width="17.1640625" style="72" customWidth="1"/>
    <col min="14362" max="14362" width="15.83203125" style="72" customWidth="1"/>
    <col min="14363" max="14363" width="15.5" style="72" customWidth="1"/>
    <col min="14364" max="14364" width="16" style="72" customWidth="1"/>
    <col min="14365" max="14365" width="9.1640625" style="72" customWidth="1"/>
    <col min="14366" max="14366" width="17.33203125" style="72" customWidth="1"/>
    <col min="14367" max="14367" width="16.5" style="72" bestFit="1" customWidth="1"/>
    <col min="14368" max="14368" width="10.83203125" style="72" bestFit="1" customWidth="1"/>
    <col min="14369" max="14605" width="9.1640625" style="72"/>
    <col min="14606" max="14606" width="29.33203125" style="72" customWidth="1"/>
    <col min="14607" max="14608" width="20.1640625" style="72" customWidth="1"/>
    <col min="14609" max="14610" width="17.1640625" style="72" customWidth="1"/>
    <col min="14611" max="14611" width="21.5" style="72" customWidth="1"/>
    <col min="14612" max="14612" width="18.33203125" style="72" customWidth="1"/>
    <col min="14613" max="14613" width="28.5" style="72" customWidth="1"/>
    <col min="14614" max="14614" width="21" style="72" customWidth="1"/>
    <col min="14615" max="14615" width="17.5" style="72" customWidth="1"/>
    <col min="14616" max="14616" width="22.6640625" style="72" customWidth="1"/>
    <col min="14617" max="14617" width="17.1640625" style="72" customWidth="1"/>
    <col min="14618" max="14618" width="15.83203125" style="72" customWidth="1"/>
    <col min="14619" max="14619" width="15.5" style="72" customWidth="1"/>
    <col min="14620" max="14620" width="16" style="72" customWidth="1"/>
    <col min="14621" max="14621" width="9.1640625" style="72" customWidth="1"/>
    <col min="14622" max="14622" width="17.33203125" style="72" customWidth="1"/>
    <col min="14623" max="14623" width="16.5" style="72" bestFit="1" customWidth="1"/>
    <col min="14624" max="14624" width="10.83203125" style="72" bestFit="1" customWidth="1"/>
    <col min="14625" max="14861" width="9.1640625" style="72"/>
    <col min="14862" max="14862" width="29.33203125" style="72" customWidth="1"/>
    <col min="14863" max="14864" width="20.1640625" style="72" customWidth="1"/>
    <col min="14865" max="14866" width="17.1640625" style="72" customWidth="1"/>
    <col min="14867" max="14867" width="21.5" style="72" customWidth="1"/>
    <col min="14868" max="14868" width="18.33203125" style="72" customWidth="1"/>
    <col min="14869" max="14869" width="28.5" style="72" customWidth="1"/>
    <col min="14870" max="14870" width="21" style="72" customWidth="1"/>
    <col min="14871" max="14871" width="17.5" style="72" customWidth="1"/>
    <col min="14872" max="14872" width="22.6640625" style="72" customWidth="1"/>
    <col min="14873" max="14873" width="17.1640625" style="72" customWidth="1"/>
    <col min="14874" max="14874" width="15.83203125" style="72" customWidth="1"/>
    <col min="14875" max="14875" width="15.5" style="72" customWidth="1"/>
    <col min="14876" max="14876" width="16" style="72" customWidth="1"/>
    <col min="14877" max="14877" width="9.1640625" style="72" customWidth="1"/>
    <col min="14878" max="14878" width="17.33203125" style="72" customWidth="1"/>
    <col min="14879" max="14879" width="16.5" style="72" bestFit="1" customWidth="1"/>
    <col min="14880" max="14880" width="10.83203125" style="72" bestFit="1" customWidth="1"/>
    <col min="14881" max="15117" width="9.1640625" style="72"/>
    <col min="15118" max="15118" width="29.33203125" style="72" customWidth="1"/>
    <col min="15119" max="15120" width="20.1640625" style="72" customWidth="1"/>
    <col min="15121" max="15122" width="17.1640625" style="72" customWidth="1"/>
    <col min="15123" max="15123" width="21.5" style="72" customWidth="1"/>
    <col min="15124" max="15124" width="18.33203125" style="72" customWidth="1"/>
    <col min="15125" max="15125" width="28.5" style="72" customWidth="1"/>
    <col min="15126" max="15126" width="21" style="72" customWidth="1"/>
    <col min="15127" max="15127" width="17.5" style="72" customWidth="1"/>
    <col min="15128" max="15128" width="22.6640625" style="72" customWidth="1"/>
    <col min="15129" max="15129" width="17.1640625" style="72" customWidth="1"/>
    <col min="15130" max="15130" width="15.83203125" style="72" customWidth="1"/>
    <col min="15131" max="15131" width="15.5" style="72" customWidth="1"/>
    <col min="15132" max="15132" width="16" style="72" customWidth="1"/>
    <col min="15133" max="15133" width="9.1640625" style="72" customWidth="1"/>
    <col min="15134" max="15134" width="17.33203125" style="72" customWidth="1"/>
    <col min="15135" max="15135" width="16.5" style="72" bestFit="1" customWidth="1"/>
    <col min="15136" max="15136" width="10.83203125" style="72" bestFit="1" customWidth="1"/>
    <col min="15137" max="15373" width="9.1640625" style="72"/>
    <col min="15374" max="15374" width="29.33203125" style="72" customWidth="1"/>
    <col min="15375" max="15376" width="20.1640625" style="72" customWidth="1"/>
    <col min="15377" max="15378" width="17.1640625" style="72" customWidth="1"/>
    <col min="15379" max="15379" width="21.5" style="72" customWidth="1"/>
    <col min="15380" max="15380" width="18.33203125" style="72" customWidth="1"/>
    <col min="15381" max="15381" width="28.5" style="72" customWidth="1"/>
    <col min="15382" max="15382" width="21" style="72" customWidth="1"/>
    <col min="15383" max="15383" width="17.5" style="72" customWidth="1"/>
    <col min="15384" max="15384" width="22.6640625" style="72" customWidth="1"/>
    <col min="15385" max="15385" width="17.1640625" style="72" customWidth="1"/>
    <col min="15386" max="15386" width="15.83203125" style="72" customWidth="1"/>
    <col min="15387" max="15387" width="15.5" style="72" customWidth="1"/>
    <col min="15388" max="15388" width="16" style="72" customWidth="1"/>
    <col min="15389" max="15389" width="9.1640625" style="72" customWidth="1"/>
    <col min="15390" max="15390" width="17.33203125" style="72" customWidth="1"/>
    <col min="15391" max="15391" width="16.5" style="72" bestFit="1" customWidth="1"/>
    <col min="15392" max="15392" width="10.83203125" style="72" bestFit="1" customWidth="1"/>
    <col min="15393" max="15629" width="9.1640625" style="72"/>
    <col min="15630" max="15630" width="29.33203125" style="72" customWidth="1"/>
    <col min="15631" max="15632" width="20.1640625" style="72" customWidth="1"/>
    <col min="15633" max="15634" width="17.1640625" style="72" customWidth="1"/>
    <col min="15635" max="15635" width="21.5" style="72" customWidth="1"/>
    <col min="15636" max="15636" width="18.33203125" style="72" customWidth="1"/>
    <col min="15637" max="15637" width="28.5" style="72" customWidth="1"/>
    <col min="15638" max="15638" width="21" style="72" customWidth="1"/>
    <col min="15639" max="15639" width="17.5" style="72" customWidth="1"/>
    <col min="15640" max="15640" width="22.6640625" style="72" customWidth="1"/>
    <col min="15641" max="15641" width="17.1640625" style="72" customWidth="1"/>
    <col min="15642" max="15642" width="15.83203125" style="72" customWidth="1"/>
    <col min="15643" max="15643" width="15.5" style="72" customWidth="1"/>
    <col min="15644" max="15644" width="16" style="72" customWidth="1"/>
    <col min="15645" max="15645" width="9.1640625" style="72" customWidth="1"/>
    <col min="15646" max="15646" width="17.33203125" style="72" customWidth="1"/>
    <col min="15647" max="15647" width="16.5" style="72" bestFit="1" customWidth="1"/>
    <col min="15648" max="15648" width="10.83203125" style="72" bestFit="1" customWidth="1"/>
    <col min="15649" max="15885" width="9.1640625" style="72"/>
    <col min="15886" max="15886" width="29.33203125" style="72" customWidth="1"/>
    <col min="15887" max="15888" width="20.1640625" style="72" customWidth="1"/>
    <col min="15889" max="15890" width="17.1640625" style="72" customWidth="1"/>
    <col min="15891" max="15891" width="21.5" style="72" customWidth="1"/>
    <col min="15892" max="15892" width="18.33203125" style="72" customWidth="1"/>
    <col min="15893" max="15893" width="28.5" style="72" customWidth="1"/>
    <col min="15894" max="15894" width="21" style="72" customWidth="1"/>
    <col min="15895" max="15895" width="17.5" style="72" customWidth="1"/>
    <col min="15896" max="15896" width="22.6640625" style="72" customWidth="1"/>
    <col min="15897" max="15897" width="17.1640625" style="72" customWidth="1"/>
    <col min="15898" max="15898" width="15.83203125" style="72" customWidth="1"/>
    <col min="15899" max="15899" width="15.5" style="72" customWidth="1"/>
    <col min="15900" max="15900" width="16" style="72" customWidth="1"/>
    <col min="15901" max="15901" width="9.1640625" style="72" customWidth="1"/>
    <col min="15902" max="15902" width="17.33203125" style="72" customWidth="1"/>
    <col min="15903" max="15903" width="16.5" style="72" bestFit="1" customWidth="1"/>
    <col min="15904" max="15904" width="10.83203125" style="72" bestFit="1" customWidth="1"/>
    <col min="15905" max="16141" width="9.1640625" style="72"/>
    <col min="16142" max="16142" width="29.33203125" style="72" customWidth="1"/>
    <col min="16143" max="16144" width="20.1640625" style="72" customWidth="1"/>
    <col min="16145" max="16146" width="17.1640625" style="72" customWidth="1"/>
    <col min="16147" max="16147" width="21.5" style="72" customWidth="1"/>
    <col min="16148" max="16148" width="18.33203125" style="72" customWidth="1"/>
    <col min="16149" max="16149" width="28.5" style="72" customWidth="1"/>
    <col min="16150" max="16150" width="21" style="72" customWidth="1"/>
    <col min="16151" max="16151" width="17.5" style="72" customWidth="1"/>
    <col min="16152" max="16152" width="22.6640625" style="72" customWidth="1"/>
    <col min="16153" max="16153" width="17.1640625" style="72" customWidth="1"/>
    <col min="16154" max="16154" width="15.83203125" style="72" customWidth="1"/>
    <col min="16155" max="16155" width="15.5" style="72" customWidth="1"/>
    <col min="16156" max="16156" width="16" style="72" customWidth="1"/>
    <col min="16157" max="16157" width="9.1640625" style="72" customWidth="1"/>
    <col min="16158" max="16158" width="17.33203125" style="72" customWidth="1"/>
    <col min="16159" max="16159" width="16.5" style="72" bestFit="1" customWidth="1"/>
    <col min="16160" max="16160" width="10.83203125" style="72" bestFit="1" customWidth="1"/>
    <col min="16161" max="16384" width="9.1640625" style="72"/>
  </cols>
  <sheetData>
    <row r="1" spans="1:269" ht="17">
      <c r="A1" s="294" t="s">
        <v>81</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c r="IW1" s="25"/>
      <c r="IX1" s="25"/>
      <c r="IY1" s="25"/>
      <c r="IZ1" s="25"/>
      <c r="JA1" s="25"/>
      <c r="JB1" s="25"/>
      <c r="JC1" s="25"/>
      <c r="JD1" s="25"/>
      <c r="JE1" s="25"/>
      <c r="JF1" s="25"/>
      <c r="JG1" s="25"/>
      <c r="JH1" s="25"/>
      <c r="JI1" s="25"/>
    </row>
    <row r="2" spans="1:269" ht="17">
      <c r="A2" s="295" t="s">
        <v>151</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c r="JA2" s="25"/>
      <c r="JB2" s="25"/>
      <c r="JC2" s="25"/>
      <c r="JD2" s="25"/>
      <c r="JE2" s="25"/>
      <c r="JF2" s="25"/>
      <c r="JG2" s="25"/>
      <c r="JH2" s="25"/>
      <c r="JI2" s="25"/>
    </row>
    <row r="3" spans="1:269" ht="15">
      <c r="A3" s="296" t="s">
        <v>180</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c r="IW3" s="26"/>
      <c r="IX3" s="26"/>
      <c r="IY3" s="26"/>
      <c r="IZ3" s="26"/>
      <c r="JA3" s="26"/>
      <c r="JB3" s="26"/>
      <c r="JC3" s="26"/>
      <c r="JD3" s="26"/>
      <c r="JE3" s="26"/>
      <c r="JF3" s="26"/>
      <c r="JG3" s="26"/>
      <c r="JH3" s="26"/>
      <c r="JI3" s="26"/>
    </row>
    <row r="4" spans="1:269">
      <c r="A4" s="29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c r="JA4" s="26"/>
      <c r="JB4" s="26"/>
      <c r="JC4" s="26"/>
      <c r="JD4" s="26"/>
      <c r="JE4" s="26"/>
      <c r="JF4" s="26"/>
      <c r="JG4" s="26"/>
      <c r="JH4" s="26"/>
      <c r="JI4" s="26"/>
    </row>
    <row r="5" spans="1:269">
      <c r="A5" s="27"/>
      <c r="B5" s="27"/>
      <c r="C5" s="298" t="s">
        <v>82</v>
      </c>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row>
    <row r="6" spans="1:269" ht="14">
      <c r="A6" s="27"/>
      <c r="B6" s="27"/>
      <c r="C6" s="28" t="s">
        <v>83</v>
      </c>
      <c r="D6" s="55"/>
      <c r="E6" s="28" t="s">
        <v>84</v>
      </c>
      <c r="F6" s="55"/>
      <c r="G6" s="28" t="s">
        <v>85</v>
      </c>
      <c r="H6" s="55"/>
      <c r="I6" s="28" t="s">
        <v>118</v>
      </c>
      <c r="J6" s="55"/>
      <c r="K6" s="28" t="s">
        <v>86</v>
      </c>
      <c r="L6" s="55"/>
      <c r="M6" s="28" t="s">
        <v>87</v>
      </c>
      <c r="N6" s="55"/>
      <c r="O6" s="28" t="s">
        <v>88</v>
      </c>
      <c r="P6" s="55"/>
      <c r="Q6" s="28" t="s">
        <v>89</v>
      </c>
      <c r="R6" s="55"/>
      <c r="S6" s="28" t="s">
        <v>90</v>
      </c>
      <c r="T6" s="55"/>
      <c r="U6" s="299"/>
      <c r="V6" s="299"/>
      <c r="W6" s="299"/>
      <c r="X6" s="179"/>
      <c r="Y6" s="299"/>
      <c r="Z6" s="299"/>
      <c r="AA6" s="179"/>
      <c r="AB6" s="29"/>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row>
    <row r="7" spans="1:269" ht="14">
      <c r="A7" s="27"/>
      <c r="B7" s="27"/>
      <c r="C7" s="30"/>
      <c r="D7" s="30"/>
      <c r="E7" s="30"/>
      <c r="F7" s="30"/>
      <c r="G7" s="30"/>
      <c r="H7" s="30"/>
      <c r="I7" s="30"/>
      <c r="J7" s="30"/>
      <c r="K7" s="30"/>
      <c r="L7" s="30"/>
      <c r="M7" s="30"/>
      <c r="N7" s="30"/>
      <c r="O7" s="30"/>
      <c r="P7" s="30"/>
      <c r="Q7" s="30"/>
      <c r="R7" s="30"/>
      <c r="S7" s="30"/>
      <c r="T7" s="30"/>
      <c r="U7" s="292"/>
      <c r="V7" s="292"/>
      <c r="W7" s="293"/>
      <c r="X7" s="178"/>
      <c r="Y7" s="57"/>
      <c r="Z7" s="57"/>
      <c r="AA7" s="58"/>
      <c r="AB7" s="31"/>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row>
    <row r="8" spans="1:269">
      <c r="A8" s="32"/>
      <c r="B8" s="32" t="s">
        <v>202</v>
      </c>
      <c r="C8" s="33" t="s">
        <v>91</v>
      </c>
      <c r="D8" s="33" t="s">
        <v>203</v>
      </c>
      <c r="E8" s="33" t="s">
        <v>92</v>
      </c>
      <c r="F8" s="33" t="s">
        <v>204</v>
      </c>
      <c r="G8" s="33" t="s">
        <v>93</v>
      </c>
      <c r="H8" s="33" t="s">
        <v>205</v>
      </c>
      <c r="I8" s="33" t="s">
        <v>116</v>
      </c>
      <c r="J8" s="33">
        <v>5310</v>
      </c>
      <c r="K8" s="33" t="s">
        <v>94</v>
      </c>
      <c r="L8" s="33">
        <v>5311</v>
      </c>
      <c r="M8" s="33" t="s">
        <v>95</v>
      </c>
      <c r="N8" s="33" t="s">
        <v>207</v>
      </c>
      <c r="O8" s="33"/>
      <c r="P8" s="33" t="s">
        <v>208</v>
      </c>
      <c r="Q8" s="33" t="s">
        <v>96</v>
      </c>
      <c r="R8" s="33" t="s">
        <v>209</v>
      </c>
      <c r="S8" s="33" t="s">
        <v>97</v>
      </c>
      <c r="T8" s="33" t="s">
        <v>210</v>
      </c>
      <c r="U8" s="33" t="s">
        <v>131</v>
      </c>
      <c r="V8" s="33" t="s">
        <v>211</v>
      </c>
      <c r="W8" s="47" t="s">
        <v>129</v>
      </c>
      <c r="X8" s="33">
        <v>5339</v>
      </c>
      <c r="Y8" s="33" t="s">
        <v>98</v>
      </c>
      <c r="Z8" s="33" t="s">
        <v>135</v>
      </c>
      <c r="AA8" s="47"/>
      <c r="AB8" s="33"/>
    </row>
    <row r="9" spans="1:269" ht="12" thickBot="1">
      <c r="A9" s="35" t="s">
        <v>35</v>
      </c>
      <c r="B9" s="35" t="s">
        <v>170</v>
      </c>
      <c r="C9" s="35" t="s">
        <v>99</v>
      </c>
      <c r="D9" s="35" t="s">
        <v>170</v>
      </c>
      <c r="E9" s="35" t="s">
        <v>99</v>
      </c>
      <c r="F9" s="35" t="s">
        <v>170</v>
      </c>
      <c r="G9" s="35" t="s">
        <v>100</v>
      </c>
      <c r="H9" s="35" t="s">
        <v>206</v>
      </c>
      <c r="I9" s="35" t="s">
        <v>117</v>
      </c>
      <c r="J9" s="35" t="s">
        <v>170</v>
      </c>
      <c r="K9" s="35" t="s">
        <v>101</v>
      </c>
      <c r="L9" s="35" t="s">
        <v>170</v>
      </c>
      <c r="M9" s="35" t="s">
        <v>100</v>
      </c>
      <c r="N9" s="35" t="s">
        <v>170</v>
      </c>
      <c r="O9" s="35" t="s">
        <v>102</v>
      </c>
      <c r="P9" s="35" t="s">
        <v>170</v>
      </c>
      <c r="Q9" s="35" t="s">
        <v>103</v>
      </c>
      <c r="R9" s="35" t="s">
        <v>170</v>
      </c>
      <c r="S9" s="35" t="s">
        <v>100</v>
      </c>
      <c r="T9" s="35" t="s">
        <v>170</v>
      </c>
      <c r="U9" s="49" t="s">
        <v>132</v>
      </c>
      <c r="V9" s="49" t="s">
        <v>170</v>
      </c>
      <c r="W9" s="50" t="s">
        <v>130</v>
      </c>
      <c r="X9" s="180" t="s">
        <v>170</v>
      </c>
      <c r="Y9" s="59" t="s">
        <v>104</v>
      </c>
      <c r="Z9" s="59" t="s">
        <v>136</v>
      </c>
      <c r="AA9" s="60" t="s">
        <v>134</v>
      </c>
      <c r="AB9" s="36" t="s">
        <v>105</v>
      </c>
    </row>
    <row r="10" spans="1:269" ht="14">
      <c r="A10" s="37" t="s">
        <v>119</v>
      </c>
      <c r="B10" s="181">
        <v>7.9711663341292937E-3</v>
      </c>
      <c r="C10" s="73">
        <f>B10*C$67</f>
        <v>893580.27888036845</v>
      </c>
      <c r="D10" s="181">
        <v>9.96271570851044E-3</v>
      </c>
      <c r="E10" s="73">
        <f>D10*E$67</f>
        <v>233304.25195389704</v>
      </c>
      <c r="F10" s="101">
        <v>4.8336514523794226E-3</v>
      </c>
      <c r="G10" s="73">
        <f>F10*G$67</f>
        <v>24695601.962906525</v>
      </c>
      <c r="H10" s="181">
        <v>0</v>
      </c>
      <c r="I10" s="73">
        <f>H10*I$67</f>
        <v>0</v>
      </c>
      <c r="J10" s="181">
        <v>1.6315215757817386E-2</v>
      </c>
      <c r="K10" s="73">
        <f>J10*K$67</f>
        <v>4445432.294608403</v>
      </c>
      <c r="L10" s="181">
        <v>2.4865538558265274E-2</v>
      </c>
      <c r="M10" s="73">
        <f>L10*M$67</f>
        <v>16311780.249582557</v>
      </c>
      <c r="N10" s="181">
        <v>2.4918263900083122E-2</v>
      </c>
      <c r="O10" s="73">
        <f>N10*O$67</f>
        <v>273497.57735625457</v>
      </c>
      <c r="P10" s="181">
        <v>0.25</v>
      </c>
      <c r="Q10" s="73">
        <f>P10*Q$67</f>
        <v>5000000</v>
      </c>
      <c r="R10" s="181">
        <v>7.4399999999999999E-6</v>
      </c>
      <c r="S10" s="73">
        <f>R10*S$67</f>
        <v>223.2</v>
      </c>
      <c r="T10" s="181">
        <v>0</v>
      </c>
      <c r="U10" s="73">
        <f>T10*U$67</f>
        <v>0</v>
      </c>
      <c r="V10" s="181">
        <v>0</v>
      </c>
      <c r="W10" s="73">
        <f>V10*W$67</f>
        <v>0</v>
      </c>
      <c r="X10" s="181">
        <v>6.6822055093737117E-3</v>
      </c>
      <c r="Y10" s="73">
        <f>X10*Y$67</f>
        <v>2334874.3643945646</v>
      </c>
      <c r="Z10" s="73">
        <v>1750000</v>
      </c>
      <c r="AA10" s="73">
        <f>SUM(Y10+Z10)</f>
        <v>4084874.3643945646</v>
      </c>
      <c r="AB10" s="74">
        <f>SUM(C10+E10+G10+I10+K10+M10+O10+Q10+S10+U10+W10+AA10)</f>
        <v>55938294.179682575</v>
      </c>
    </row>
    <row r="11" spans="1:269" ht="14">
      <c r="A11" s="37" t="s">
        <v>36</v>
      </c>
      <c r="B11" s="181">
        <v>4.0000007882070787E-3</v>
      </c>
      <c r="C11" s="73">
        <f t="shared" ref="C11:E26" si="0">B11*C$67</f>
        <v>448406.37743864185</v>
      </c>
      <c r="D11" s="181">
        <v>4.9997117070213551E-3</v>
      </c>
      <c r="E11" s="73">
        <f t="shared" si="0"/>
        <v>117081.93166601553</v>
      </c>
      <c r="F11" s="101">
        <v>3.3883408034132618E-3</v>
      </c>
      <c r="G11" s="73">
        <f t="shared" ref="G11:G66" si="1">F11*G$67</f>
        <v>17311367.321402077</v>
      </c>
      <c r="H11" s="181">
        <v>0</v>
      </c>
      <c r="I11" s="73">
        <f t="shared" ref="I11:I66" si="2">H11*I$67</f>
        <v>0</v>
      </c>
      <c r="J11" s="181">
        <v>1.491093776850769E-3</v>
      </c>
      <c r="K11" s="73">
        <f t="shared" ref="K11:K66" si="3">J11*K$67</f>
        <v>406280.64797279629</v>
      </c>
      <c r="L11" s="181">
        <v>1.3105234556647527E-2</v>
      </c>
      <c r="M11" s="73">
        <f t="shared" ref="M11:M66" si="4">L11*M$67</f>
        <v>8597026.9940609485</v>
      </c>
      <c r="N11" s="181">
        <v>9.1444190186806655E-3</v>
      </c>
      <c r="O11" s="73">
        <f t="shared" ref="O11:O66" si="5">N11*O$67</f>
        <v>100367.20286645966</v>
      </c>
      <c r="P11" s="181">
        <v>0</v>
      </c>
      <c r="Q11" s="73">
        <f t="shared" ref="Q11:Q66" si="6">P11*Q$67</f>
        <v>0</v>
      </c>
      <c r="R11" s="181">
        <v>1.486264E-2</v>
      </c>
      <c r="S11" s="73">
        <f t="shared" ref="S11:S66" si="7">R11*S$67</f>
        <v>445879.2</v>
      </c>
      <c r="T11" s="181">
        <v>9.5512672463014606E-3</v>
      </c>
      <c r="U11" s="73">
        <f t="shared" ref="U11:U66" si="8">T11*U$67</f>
        <v>23819389.335703757</v>
      </c>
      <c r="V11" s="181">
        <v>0</v>
      </c>
      <c r="W11" s="73">
        <f t="shared" ref="W11:W66" si="9">V11*W$67</f>
        <v>0</v>
      </c>
      <c r="X11" s="181">
        <v>1.7484020858619534E-3</v>
      </c>
      <c r="Y11" s="73">
        <f t="shared" ref="Y11:Y66" si="10">X11*Y$67</f>
        <v>610920.93070266442</v>
      </c>
      <c r="Z11" s="73">
        <v>1750000</v>
      </c>
      <c r="AA11" s="73">
        <f t="shared" ref="AA11:AA67" si="11">SUM(Y11+Z11)</f>
        <v>2360920.9307026644</v>
      </c>
      <c r="AB11" s="74">
        <f t="shared" ref="AB11:AB66" si="12">SUM(C11+E11+G11+I11+K11+M11+O11+Q11+S11+U11+W11+AA11)</f>
        <v>53606719.941813357</v>
      </c>
    </row>
    <row r="12" spans="1:269" ht="14">
      <c r="A12" s="37" t="s">
        <v>37</v>
      </c>
      <c r="B12" s="181">
        <v>0</v>
      </c>
      <c r="C12" s="73">
        <f t="shared" si="0"/>
        <v>0</v>
      </c>
      <c r="D12" s="181">
        <v>0</v>
      </c>
      <c r="E12" s="73">
        <f t="shared" si="0"/>
        <v>0</v>
      </c>
      <c r="F12" s="101"/>
      <c r="G12" s="73">
        <f t="shared" si="1"/>
        <v>0</v>
      </c>
      <c r="H12" s="181">
        <v>0</v>
      </c>
      <c r="I12" s="73">
        <f t="shared" si="2"/>
        <v>0</v>
      </c>
      <c r="J12" s="181">
        <v>4.6351986780385408E-5</v>
      </c>
      <c r="K12" s="73">
        <f t="shared" si="3"/>
        <v>12629.598162320141</v>
      </c>
      <c r="L12" s="181">
        <v>4.8549207305702193E-4</v>
      </c>
      <c r="M12" s="73">
        <f t="shared" si="4"/>
        <v>318482.5452327907</v>
      </c>
      <c r="N12" s="181">
        <v>1.3672066184407269E-3</v>
      </c>
      <c r="O12" s="73">
        <f t="shared" si="5"/>
        <v>15006.169747151953</v>
      </c>
      <c r="P12" s="181">
        <v>0</v>
      </c>
      <c r="Q12" s="73">
        <f t="shared" si="6"/>
        <v>0</v>
      </c>
      <c r="R12" s="181">
        <v>0</v>
      </c>
      <c r="S12" s="73">
        <f t="shared" si="7"/>
        <v>0</v>
      </c>
      <c r="T12" s="181">
        <v>0</v>
      </c>
      <c r="U12" s="73">
        <f t="shared" si="8"/>
        <v>0</v>
      </c>
      <c r="V12" s="181">
        <v>0</v>
      </c>
      <c r="W12" s="73">
        <f t="shared" si="9"/>
        <v>0</v>
      </c>
      <c r="X12" s="181">
        <v>0</v>
      </c>
      <c r="Y12" s="73">
        <f t="shared" si="10"/>
        <v>0</v>
      </c>
      <c r="Z12" s="73">
        <v>500000</v>
      </c>
      <c r="AA12" s="73">
        <f t="shared" si="11"/>
        <v>500000</v>
      </c>
      <c r="AB12" s="74">
        <f t="shared" si="12"/>
        <v>846118.31314226286</v>
      </c>
    </row>
    <row r="13" spans="1:269" ht="14">
      <c r="A13" s="37" t="s">
        <v>38</v>
      </c>
      <c r="B13" s="181">
        <v>2.2963024483429021E-2</v>
      </c>
      <c r="C13" s="73">
        <f t="shared" si="0"/>
        <v>2574191.1486633904</v>
      </c>
      <c r="D13" s="181">
        <v>2.192702708919549E-2</v>
      </c>
      <c r="E13" s="73">
        <f t="shared" si="0"/>
        <v>513481.34407244378</v>
      </c>
      <c r="F13" s="101">
        <v>1.5376905197628864E-2</v>
      </c>
      <c r="G13" s="73">
        <f t="shared" si="1"/>
        <v>78562125.118694365</v>
      </c>
      <c r="H13" s="181">
        <v>1.9249055207293687E-2</v>
      </c>
      <c r="I13" s="73">
        <f t="shared" si="2"/>
        <v>454942.48576943995</v>
      </c>
      <c r="J13" s="181">
        <v>2.1649520004863424E-2</v>
      </c>
      <c r="K13" s="73">
        <f t="shared" si="3"/>
        <v>5898878.496061367</v>
      </c>
      <c r="L13" s="181">
        <v>1.8772658238577274E-2</v>
      </c>
      <c r="M13" s="73">
        <f t="shared" si="4"/>
        <v>12314853.956235845</v>
      </c>
      <c r="N13" s="181">
        <v>1.5881058300075662E-2</v>
      </c>
      <c r="O13" s="73">
        <f t="shared" si="5"/>
        <v>174307.12622437728</v>
      </c>
      <c r="P13" s="181">
        <v>0</v>
      </c>
      <c r="Q13" s="73">
        <f t="shared" si="6"/>
        <v>0</v>
      </c>
      <c r="R13" s="181">
        <v>6.1556680000000003E-2</v>
      </c>
      <c r="S13" s="73">
        <f t="shared" si="7"/>
        <v>1846700.4000000001</v>
      </c>
      <c r="T13" s="181">
        <v>1.6379387401513619E-4</v>
      </c>
      <c r="U13" s="73">
        <f t="shared" si="8"/>
        <v>408476.69271116954</v>
      </c>
      <c r="V13" s="181">
        <v>3.5917393987930465E-2</v>
      </c>
      <c r="W13" s="73">
        <f t="shared" si="9"/>
        <v>2655033.5680347937</v>
      </c>
      <c r="X13" s="181">
        <v>2.097246110336427E-2</v>
      </c>
      <c r="Y13" s="73">
        <f t="shared" si="10"/>
        <v>7328128.6724593574</v>
      </c>
      <c r="Z13" s="73">
        <v>1750000</v>
      </c>
      <c r="AA13" s="73">
        <f t="shared" si="11"/>
        <v>9078128.6724593565</v>
      </c>
      <c r="AB13" s="74">
        <f t="shared" si="12"/>
        <v>114481119.00892657</v>
      </c>
    </row>
    <row r="14" spans="1:269" ht="14">
      <c r="A14" s="37" t="s">
        <v>39</v>
      </c>
      <c r="B14" s="181">
        <v>4.0120678632407049E-3</v>
      </c>
      <c r="C14" s="73">
        <f t="shared" si="0"/>
        <v>449759.11552260956</v>
      </c>
      <c r="D14" s="181">
        <v>5.0578940750053217E-3</v>
      </c>
      <c r="E14" s="73">
        <f t="shared" si="0"/>
        <v>118444.43103230883</v>
      </c>
      <c r="F14" s="101">
        <v>2.6016375477696512E-3</v>
      </c>
      <c r="G14" s="73">
        <f t="shared" si="1"/>
        <v>13292022.803970315</v>
      </c>
      <c r="H14" s="181">
        <v>1.0108082042770793E-2</v>
      </c>
      <c r="I14" s="73">
        <f t="shared" si="2"/>
        <v>238899.82762151997</v>
      </c>
      <c r="J14" s="181">
        <v>9.6485773668725031E-3</v>
      </c>
      <c r="K14" s="73">
        <f t="shared" si="3"/>
        <v>2628962.9300900367</v>
      </c>
      <c r="L14" s="181">
        <v>1.9342063440129797E-2</v>
      </c>
      <c r="M14" s="73">
        <f t="shared" si="4"/>
        <v>12688383.469740257</v>
      </c>
      <c r="N14" s="181">
        <v>1.962438937577201E-2</v>
      </c>
      <c r="O14" s="73">
        <f t="shared" si="5"/>
        <v>215393.13384314717</v>
      </c>
      <c r="P14" s="181">
        <v>0</v>
      </c>
      <c r="Q14" s="73">
        <f t="shared" si="6"/>
        <v>0</v>
      </c>
      <c r="R14" s="181">
        <v>0</v>
      </c>
      <c r="S14" s="73">
        <f t="shared" si="7"/>
        <v>0</v>
      </c>
      <c r="T14" s="181">
        <v>1.3194527133410033E-4</v>
      </c>
      <c r="U14" s="73">
        <f t="shared" si="8"/>
        <v>329051.18324785825</v>
      </c>
      <c r="V14" s="181">
        <v>0</v>
      </c>
      <c r="W14" s="73">
        <f t="shared" si="9"/>
        <v>0</v>
      </c>
      <c r="X14" s="181">
        <v>3.5652069485110883E-3</v>
      </c>
      <c r="Y14" s="73">
        <f t="shared" si="10"/>
        <v>1245742.9356464236</v>
      </c>
      <c r="Z14" s="73">
        <v>1750000</v>
      </c>
      <c r="AA14" s="73">
        <f t="shared" si="11"/>
        <v>2995742.9356464236</v>
      </c>
      <c r="AB14" s="74">
        <f t="shared" si="12"/>
        <v>32956659.830714472</v>
      </c>
    </row>
    <row r="15" spans="1:269" ht="14">
      <c r="A15" s="37" t="s">
        <v>120</v>
      </c>
      <c r="B15" s="181">
        <v>0.14999529093187744</v>
      </c>
      <c r="C15" s="73">
        <f t="shared" si="0"/>
        <v>16814707.946536623</v>
      </c>
      <c r="D15" s="181">
        <v>0.14322024173748177</v>
      </c>
      <c r="E15" s="73">
        <f t="shared" si="0"/>
        <v>3353893.8920716541</v>
      </c>
      <c r="F15" s="101">
        <v>0.16072562402584745</v>
      </c>
      <c r="G15" s="73">
        <f t="shared" si="1"/>
        <v>821163063.84238791</v>
      </c>
      <c r="H15" s="181">
        <v>0.12745203144449554</v>
      </c>
      <c r="I15" s="73">
        <f t="shared" si="2"/>
        <v>3012269.6089392002</v>
      </c>
      <c r="J15" s="181">
        <v>0.11037559666627997</v>
      </c>
      <c r="K15" s="73">
        <f t="shared" si="3"/>
        <v>30074211.045713622</v>
      </c>
      <c r="L15" s="181">
        <v>4.4515647849891996E-2</v>
      </c>
      <c r="M15" s="73">
        <f t="shared" si="4"/>
        <v>29202241.636301737</v>
      </c>
      <c r="N15" s="181">
        <v>3.5422917838626472E-2</v>
      </c>
      <c r="O15" s="73">
        <f t="shared" si="5"/>
        <v>388794.43008554366</v>
      </c>
      <c r="P15" s="181">
        <v>0</v>
      </c>
      <c r="Q15" s="73">
        <f t="shared" si="6"/>
        <v>0</v>
      </c>
      <c r="R15" s="181">
        <v>2.1273799999999999E-2</v>
      </c>
      <c r="S15" s="73">
        <f t="shared" si="7"/>
        <v>638214</v>
      </c>
      <c r="T15" s="181">
        <v>0.15402670095211823</v>
      </c>
      <c r="U15" s="73">
        <f t="shared" si="8"/>
        <v>384118867.524432</v>
      </c>
      <c r="V15" s="181">
        <v>0.23946784383828837</v>
      </c>
      <c r="W15" s="73">
        <f t="shared" si="9"/>
        <v>17701595.056401353</v>
      </c>
      <c r="X15" s="181">
        <v>0.18084132050311938</v>
      </c>
      <c r="Y15" s="73">
        <f t="shared" si="10"/>
        <v>63188981.942216434</v>
      </c>
      <c r="Z15" s="73">
        <v>1750000</v>
      </c>
      <c r="AA15" s="73">
        <f t="shared" si="11"/>
        <v>64938981.942216434</v>
      </c>
      <c r="AB15" s="74">
        <f t="shared" si="12"/>
        <v>1371406840.925086</v>
      </c>
    </row>
    <row r="16" spans="1:269" ht="14">
      <c r="A16" s="37" t="s">
        <v>40</v>
      </c>
      <c r="B16" s="181">
        <v>1.6796176752772441E-2</v>
      </c>
      <c r="C16" s="73">
        <f t="shared" si="0"/>
        <v>1882877.8221080482</v>
      </c>
      <c r="D16" s="181">
        <v>1.6561547757488731E-2</v>
      </c>
      <c r="E16" s="73">
        <f t="shared" si="0"/>
        <v>387833.962526805</v>
      </c>
      <c r="F16" s="101">
        <v>1.5170253769444978E-2</v>
      </c>
      <c r="G16" s="73">
        <f t="shared" si="1"/>
        <v>77506322.592224821</v>
      </c>
      <c r="H16" s="181">
        <v>2.3645767216534153E-2</v>
      </c>
      <c r="I16" s="73">
        <f t="shared" si="2"/>
        <v>558856.73346396</v>
      </c>
      <c r="J16" s="181">
        <v>1.445304974089418E-2</v>
      </c>
      <c r="K16" s="73">
        <f t="shared" si="3"/>
        <v>3938045.0143889384</v>
      </c>
      <c r="L16" s="181">
        <v>1.7796227792132299E-2</v>
      </c>
      <c r="M16" s="73">
        <f t="shared" si="4"/>
        <v>11674316.095610339</v>
      </c>
      <c r="N16" s="181">
        <v>1.5034844832129506E-2</v>
      </c>
      <c r="O16" s="73">
        <f t="shared" si="5"/>
        <v>165019.26675160171</v>
      </c>
      <c r="P16" s="181">
        <v>0</v>
      </c>
      <c r="Q16" s="73">
        <f t="shared" si="6"/>
        <v>0</v>
      </c>
      <c r="R16" s="181">
        <v>6.0998399999999996E-3</v>
      </c>
      <c r="S16" s="73">
        <f t="shared" si="7"/>
        <v>182995.19999999998</v>
      </c>
      <c r="T16" s="181">
        <v>5.7583806875257772E-3</v>
      </c>
      <c r="U16" s="73">
        <f t="shared" si="8"/>
        <v>14360514.474399919</v>
      </c>
      <c r="V16" s="181">
        <v>5.8797861897210112E-3</v>
      </c>
      <c r="W16" s="73">
        <f t="shared" si="9"/>
        <v>434637.03719213448</v>
      </c>
      <c r="X16" s="181">
        <v>1.8746202980253302E-2</v>
      </c>
      <c r="Y16" s="73">
        <f t="shared" si="10"/>
        <v>6550236.8502331143</v>
      </c>
      <c r="Z16" s="73">
        <v>1750000</v>
      </c>
      <c r="AA16" s="73">
        <f t="shared" si="11"/>
        <v>8300236.8502331143</v>
      </c>
      <c r="AB16" s="74">
        <f t="shared" si="12"/>
        <v>119391655.04889968</v>
      </c>
    </row>
    <row r="17" spans="1:28" ht="14">
      <c r="A17" s="37" t="s">
        <v>121</v>
      </c>
      <c r="B17" s="181">
        <v>1.039382400719055E-2</v>
      </c>
      <c r="C17" s="73">
        <f t="shared" si="0"/>
        <v>1165164.0131021449</v>
      </c>
      <c r="D17" s="181">
        <v>1.299046852344804E-2</v>
      </c>
      <c r="E17" s="73">
        <f t="shared" si="0"/>
        <v>304207.3697641248</v>
      </c>
      <c r="F17" s="101">
        <v>1.9171335611605438E-2</v>
      </c>
      <c r="G17" s="73">
        <f t="shared" si="1"/>
        <v>97948244.308853254</v>
      </c>
      <c r="H17" s="181">
        <v>0</v>
      </c>
      <c r="I17" s="73">
        <f t="shared" si="2"/>
        <v>0</v>
      </c>
      <c r="J17" s="181">
        <v>1.2257063193736872E-2</v>
      </c>
      <c r="K17" s="73">
        <f t="shared" si="3"/>
        <v>3339701.1334273145</v>
      </c>
      <c r="L17" s="181">
        <v>4.7533734259735221E-3</v>
      </c>
      <c r="M17" s="73">
        <f t="shared" si="4"/>
        <v>3118210.4737849166</v>
      </c>
      <c r="N17" s="181">
        <v>1.0274964734039592E-2</v>
      </c>
      <c r="O17" s="73">
        <f t="shared" si="5"/>
        <v>112775.83275660739</v>
      </c>
      <c r="P17" s="181">
        <v>0</v>
      </c>
      <c r="Q17" s="73">
        <f t="shared" si="6"/>
        <v>0</v>
      </c>
      <c r="R17" s="181">
        <v>0</v>
      </c>
      <c r="S17" s="73">
        <f t="shared" si="7"/>
        <v>0</v>
      </c>
      <c r="T17" s="181">
        <v>2.3813321659182454E-2</v>
      </c>
      <c r="U17" s="73">
        <f t="shared" si="8"/>
        <v>59386756.26483576</v>
      </c>
      <c r="V17" s="181">
        <v>1.362787675756468E-2</v>
      </c>
      <c r="W17" s="73">
        <f t="shared" si="9"/>
        <v>1007380.1641771115</v>
      </c>
      <c r="X17" s="181">
        <v>1.1558472351141071E-2</v>
      </c>
      <c r="Y17" s="73">
        <f t="shared" si="10"/>
        <v>4038723.5541296704</v>
      </c>
      <c r="Z17" s="73">
        <v>1750000</v>
      </c>
      <c r="AA17" s="73">
        <f t="shared" si="11"/>
        <v>5788723.5541296704</v>
      </c>
      <c r="AB17" s="74">
        <f t="shared" si="12"/>
        <v>172171163.11483091</v>
      </c>
    </row>
    <row r="18" spans="1:28" ht="14">
      <c r="A18" s="37" t="s">
        <v>41</v>
      </c>
      <c r="B18" s="181">
        <v>4.0000007882070787E-3</v>
      </c>
      <c r="C18" s="73">
        <f t="shared" si="0"/>
        <v>448406.37743864185</v>
      </c>
      <c r="D18" s="181">
        <v>4.9997117070213551E-3</v>
      </c>
      <c r="E18" s="73">
        <f t="shared" si="0"/>
        <v>117081.93166601553</v>
      </c>
      <c r="F18" s="101">
        <v>3.9429160377243248E-3</v>
      </c>
      <c r="G18" s="73">
        <f t="shared" si="1"/>
        <v>20144746.885476734</v>
      </c>
      <c r="H18" s="181">
        <v>0</v>
      </c>
      <c r="I18" s="73">
        <f t="shared" si="2"/>
        <v>0</v>
      </c>
      <c r="J18" s="181">
        <v>3.1563201683592404E-3</v>
      </c>
      <c r="K18" s="73">
        <f t="shared" si="3"/>
        <v>860007.48116524226</v>
      </c>
      <c r="L18" s="181">
        <v>2.7130402279169313E-3</v>
      </c>
      <c r="M18" s="73">
        <f t="shared" si="4"/>
        <v>1779752.966233189</v>
      </c>
      <c r="N18" s="181">
        <v>8.2751235757125997E-3</v>
      </c>
      <c r="O18" s="73">
        <f t="shared" si="5"/>
        <v>90826.000533426937</v>
      </c>
      <c r="P18" s="181">
        <v>0</v>
      </c>
      <c r="Q18" s="73">
        <f t="shared" si="6"/>
        <v>0</v>
      </c>
      <c r="R18" s="181">
        <v>0</v>
      </c>
      <c r="S18" s="73">
        <f t="shared" si="7"/>
        <v>0</v>
      </c>
      <c r="T18" s="181">
        <v>0</v>
      </c>
      <c r="U18" s="73">
        <f t="shared" si="8"/>
        <v>0</v>
      </c>
      <c r="V18" s="181">
        <v>0</v>
      </c>
      <c r="W18" s="73">
        <f t="shared" si="9"/>
        <v>0</v>
      </c>
      <c r="X18" s="181">
        <v>2.5808784629573153E-3</v>
      </c>
      <c r="Y18" s="73">
        <f t="shared" si="10"/>
        <v>901802.09996891744</v>
      </c>
      <c r="Z18" s="73">
        <v>1750000</v>
      </c>
      <c r="AA18" s="73">
        <f t="shared" si="11"/>
        <v>2651802.0999689177</v>
      </c>
      <c r="AB18" s="74">
        <f t="shared" si="12"/>
        <v>26092623.74248217</v>
      </c>
    </row>
    <row r="19" spans="1:28" ht="14">
      <c r="A19" s="37" t="s">
        <v>42</v>
      </c>
      <c r="B19" s="181">
        <v>4.0000007882070787E-3</v>
      </c>
      <c r="C19" s="73">
        <f t="shared" si="0"/>
        <v>448406.37743864185</v>
      </c>
      <c r="D19" s="181">
        <v>4.9997117070213551E-3</v>
      </c>
      <c r="E19" s="73">
        <f t="shared" si="0"/>
        <v>117081.93166601553</v>
      </c>
      <c r="F19" s="101">
        <v>4.2480277223317523E-3</v>
      </c>
      <c r="G19" s="73">
        <f t="shared" si="1"/>
        <v>21703592.572123781</v>
      </c>
      <c r="H19" s="181">
        <v>8.0222758009711459E-2</v>
      </c>
      <c r="I19" s="73">
        <f t="shared" si="2"/>
        <v>1896027.6518085599</v>
      </c>
      <c r="J19" s="181">
        <v>1.4430250498192582E-3</v>
      </c>
      <c r="K19" s="73">
        <f t="shared" si="3"/>
        <v>393183.28691557539</v>
      </c>
      <c r="L19" s="181">
        <v>0</v>
      </c>
      <c r="M19" s="73">
        <f t="shared" si="4"/>
        <v>0</v>
      </c>
      <c r="N19" s="181">
        <v>0</v>
      </c>
      <c r="O19" s="73">
        <f t="shared" si="5"/>
        <v>0</v>
      </c>
      <c r="P19" s="181">
        <v>0</v>
      </c>
      <c r="Q19" s="73">
        <f t="shared" si="6"/>
        <v>0</v>
      </c>
      <c r="R19" s="181">
        <v>0</v>
      </c>
      <c r="S19" s="73">
        <f t="shared" si="7"/>
        <v>0</v>
      </c>
      <c r="T19" s="181">
        <v>7.0144262173573099E-2</v>
      </c>
      <c r="U19" s="73">
        <f t="shared" si="8"/>
        <v>174928985.57780355</v>
      </c>
      <c r="V19" s="181">
        <v>7.6613582501631514E-2</v>
      </c>
      <c r="W19" s="73">
        <f t="shared" si="9"/>
        <v>5663318.2623880887</v>
      </c>
      <c r="X19" s="181">
        <v>3.5290319967315499E-3</v>
      </c>
      <c r="Y19" s="73">
        <f t="shared" si="10"/>
        <v>1233102.8024711167</v>
      </c>
      <c r="Z19" s="73">
        <v>500000</v>
      </c>
      <c r="AA19" s="73">
        <f t="shared" si="11"/>
        <v>1733102.8024711167</v>
      </c>
      <c r="AB19" s="74">
        <f t="shared" si="12"/>
        <v>206883698.46261534</v>
      </c>
    </row>
    <row r="20" spans="1:28" ht="14">
      <c r="A20" s="37" t="s">
        <v>43</v>
      </c>
      <c r="B20" s="181">
        <v>7.2065200789794753E-2</v>
      </c>
      <c r="C20" s="73">
        <f t="shared" si="0"/>
        <v>8078622.3144782307</v>
      </c>
      <c r="D20" s="181">
        <v>7.0436587307749945E-2</v>
      </c>
      <c r="E20" s="73">
        <f t="shared" si="0"/>
        <v>1649465.4462519975</v>
      </c>
      <c r="F20" s="101">
        <v>5.2060229304829023E-2</v>
      </c>
      <c r="G20" s="73">
        <f t="shared" si="1"/>
        <v>265980845.67657825</v>
      </c>
      <c r="H20" s="181">
        <v>3.4103686093324211E-2</v>
      </c>
      <c r="I20" s="73">
        <f t="shared" si="2"/>
        <v>806024.7922879199</v>
      </c>
      <c r="J20" s="181">
        <v>7.977270529972319E-2</v>
      </c>
      <c r="K20" s="73">
        <f t="shared" si="3"/>
        <v>21735793.484542262</v>
      </c>
      <c r="L20" s="181">
        <v>2.5299106431908309E-2</v>
      </c>
      <c r="M20" s="73">
        <f t="shared" si="4"/>
        <v>16596200.547239579</v>
      </c>
      <c r="N20" s="181">
        <v>2.4205737462978161E-2</v>
      </c>
      <c r="O20" s="73">
        <f t="shared" si="5"/>
        <v>265677.03836798901</v>
      </c>
      <c r="P20" s="181">
        <v>0</v>
      </c>
      <c r="Q20" s="73">
        <f t="shared" si="6"/>
        <v>0</v>
      </c>
      <c r="R20" s="181">
        <v>0</v>
      </c>
      <c r="S20" s="73">
        <f t="shared" si="7"/>
        <v>0</v>
      </c>
      <c r="T20" s="181">
        <v>1.7820583624599286E-2</v>
      </c>
      <c r="U20" s="73">
        <f t="shared" si="8"/>
        <v>44441790.664811201</v>
      </c>
      <c r="V20" s="181">
        <v>2.2265987413418009E-2</v>
      </c>
      <c r="W20" s="73">
        <f t="shared" si="9"/>
        <v>1645914.0668148263</v>
      </c>
      <c r="X20" s="181">
        <v>6.6763051089306191E-2</v>
      </c>
      <c r="Y20" s="73">
        <f t="shared" si="10"/>
        <v>23328126.65795964</v>
      </c>
      <c r="Z20" s="73">
        <v>1750000</v>
      </c>
      <c r="AA20" s="73">
        <f t="shared" si="11"/>
        <v>25078126.65795964</v>
      </c>
      <c r="AB20" s="74">
        <f t="shared" si="12"/>
        <v>386278460.68933195</v>
      </c>
    </row>
    <row r="21" spans="1:28" ht="14">
      <c r="A21" s="37" t="s">
        <v>44</v>
      </c>
      <c r="B21" s="181">
        <v>2.8456640151536945E-2</v>
      </c>
      <c r="C21" s="73">
        <f t="shared" si="0"/>
        <v>3190034.1025045561</v>
      </c>
      <c r="D21" s="181">
        <v>2.7139041150210857E-2</v>
      </c>
      <c r="E21" s="73">
        <f t="shared" si="0"/>
        <v>635534.91633684689</v>
      </c>
      <c r="F21" s="101">
        <v>1.8509150812823377E-2</v>
      </c>
      <c r="G21" s="73">
        <f t="shared" si="1"/>
        <v>94565076.867485687</v>
      </c>
      <c r="H21" s="181">
        <v>3.7886714588496517E-2</v>
      </c>
      <c r="I21" s="73">
        <f t="shared" si="2"/>
        <v>895434.91495607991</v>
      </c>
      <c r="J21" s="181">
        <v>2.6495205796995262E-2</v>
      </c>
      <c r="K21" s="73">
        <f t="shared" si="3"/>
        <v>7219190.0646991637</v>
      </c>
      <c r="L21" s="181">
        <v>3.4186157126159113E-2</v>
      </c>
      <c r="M21" s="73">
        <f t="shared" si="4"/>
        <v>22426101.140457716</v>
      </c>
      <c r="N21" s="181">
        <v>3.1801874124474779E-2</v>
      </c>
      <c r="O21" s="73">
        <f t="shared" si="5"/>
        <v>349050.62259989139</v>
      </c>
      <c r="P21" s="181">
        <v>2.9600000000000001E-2</v>
      </c>
      <c r="Q21" s="73">
        <f t="shared" si="6"/>
        <v>592000</v>
      </c>
      <c r="R21" s="181">
        <v>0</v>
      </c>
      <c r="S21" s="73">
        <f t="shared" si="7"/>
        <v>0</v>
      </c>
      <c r="T21" s="181">
        <v>1.9035360168962637E-2</v>
      </c>
      <c r="U21" s="73">
        <f t="shared" si="8"/>
        <v>47471256.255073696</v>
      </c>
      <c r="V21" s="181">
        <v>5.2261377037071927E-2</v>
      </c>
      <c r="W21" s="73">
        <f t="shared" si="9"/>
        <v>3863189.8069157139</v>
      </c>
      <c r="X21" s="181">
        <v>2.1245077642641601E-2</v>
      </c>
      <c r="Y21" s="73">
        <f t="shared" si="10"/>
        <v>7423385.4507753933</v>
      </c>
      <c r="Z21" s="73">
        <v>1750000</v>
      </c>
      <c r="AA21" s="73">
        <f t="shared" si="11"/>
        <v>9173385.4507753924</v>
      </c>
      <c r="AB21" s="74">
        <f t="shared" si="12"/>
        <v>190380254.1418047</v>
      </c>
    </row>
    <row r="22" spans="1:28" ht="14">
      <c r="A22" s="37" t="s">
        <v>45</v>
      </c>
      <c r="B22" s="181">
        <v>0</v>
      </c>
      <c r="C22" s="73">
        <f t="shared" si="0"/>
        <v>0</v>
      </c>
      <c r="D22" s="181">
        <v>0</v>
      </c>
      <c r="E22" s="73">
        <f t="shared" si="0"/>
        <v>0</v>
      </c>
      <c r="F22" s="101"/>
      <c r="G22" s="73">
        <f t="shared" si="1"/>
        <v>0</v>
      </c>
      <c r="H22" s="181">
        <v>0</v>
      </c>
      <c r="I22" s="73">
        <f t="shared" si="2"/>
        <v>0</v>
      </c>
      <c r="J22" s="181">
        <v>1.7548814033110216E-4</v>
      </c>
      <c r="K22" s="73">
        <f t="shared" si="3"/>
        <v>47815.527414944576</v>
      </c>
      <c r="L22" s="181">
        <v>1.2723498709283419E-3</v>
      </c>
      <c r="M22" s="73">
        <f t="shared" si="4"/>
        <v>834660.84784514515</v>
      </c>
      <c r="N22" s="181">
        <v>2.1623571049098375E-3</v>
      </c>
      <c r="O22" s="73">
        <f t="shared" si="5"/>
        <v>23733.572769889168</v>
      </c>
      <c r="P22" s="181">
        <v>0</v>
      </c>
      <c r="Q22" s="73">
        <f t="shared" si="6"/>
        <v>0</v>
      </c>
      <c r="R22" s="181">
        <v>0</v>
      </c>
      <c r="S22" s="73">
        <f t="shared" si="7"/>
        <v>0</v>
      </c>
      <c r="T22" s="181">
        <v>0</v>
      </c>
      <c r="U22" s="73">
        <f t="shared" si="8"/>
        <v>0</v>
      </c>
      <c r="V22" s="181">
        <v>0</v>
      </c>
      <c r="W22" s="73">
        <f t="shared" si="9"/>
        <v>0</v>
      </c>
      <c r="X22" s="181">
        <v>0</v>
      </c>
      <c r="Y22" s="73">
        <f t="shared" si="10"/>
        <v>0</v>
      </c>
      <c r="Z22" s="73">
        <v>500000</v>
      </c>
      <c r="AA22" s="73">
        <f t="shared" si="11"/>
        <v>500000</v>
      </c>
      <c r="AB22" s="74">
        <f t="shared" si="12"/>
        <v>1406209.9480299789</v>
      </c>
    </row>
    <row r="23" spans="1:28" ht="14">
      <c r="A23" s="37" t="s">
        <v>46</v>
      </c>
      <c r="B23" s="181">
        <v>4.0000007882070787E-3</v>
      </c>
      <c r="C23" s="73">
        <f t="shared" si="0"/>
        <v>448406.37743864185</v>
      </c>
      <c r="D23" s="181">
        <v>4.9997117070213551E-3</v>
      </c>
      <c r="E23" s="73">
        <f t="shared" si="0"/>
        <v>117081.93166601553</v>
      </c>
      <c r="F23" s="101">
        <v>6.3136086236529644E-3</v>
      </c>
      <c r="G23" s="73">
        <f t="shared" si="1"/>
        <v>32256849.103705034</v>
      </c>
      <c r="H23" s="181">
        <v>9.6743633162504339E-3</v>
      </c>
      <c r="I23" s="73">
        <f t="shared" si="2"/>
        <v>228649.08682187996</v>
      </c>
      <c r="J23" s="181">
        <v>4.395293938013062E-3</v>
      </c>
      <c r="K23" s="73">
        <f t="shared" si="3"/>
        <v>1197592.5973873662</v>
      </c>
      <c r="L23" s="181">
        <v>4.3360021509393429E-3</v>
      </c>
      <c r="M23" s="73">
        <f t="shared" si="4"/>
        <v>2844415.1363184527</v>
      </c>
      <c r="N23" s="181">
        <v>9.0965592500638053E-3</v>
      </c>
      <c r="O23" s="73">
        <f t="shared" si="5"/>
        <v>99841.904201110083</v>
      </c>
      <c r="P23" s="181">
        <v>0</v>
      </c>
      <c r="Q23" s="73">
        <f t="shared" si="6"/>
        <v>0</v>
      </c>
      <c r="R23" s="181">
        <v>0</v>
      </c>
      <c r="S23" s="73">
        <f t="shared" si="7"/>
        <v>0</v>
      </c>
      <c r="T23" s="181">
        <v>1.2385730543621905E-4</v>
      </c>
      <c r="U23" s="73">
        <f t="shared" si="8"/>
        <v>308881.04208359239</v>
      </c>
      <c r="V23" s="181">
        <v>1.4701659115240687E-2</v>
      </c>
      <c r="W23" s="73">
        <f t="shared" si="9"/>
        <v>1086754.7481280339</v>
      </c>
      <c r="X23" s="181">
        <v>1.0366159355429982E-2</v>
      </c>
      <c r="Y23" s="73">
        <f t="shared" si="10"/>
        <v>3622109.4520768244</v>
      </c>
      <c r="Z23" s="73">
        <v>1750000</v>
      </c>
      <c r="AA23" s="73">
        <f t="shared" si="11"/>
        <v>5372109.4520768244</v>
      </c>
      <c r="AB23" s="74">
        <f t="shared" si="12"/>
        <v>43960581.379826955</v>
      </c>
    </row>
    <row r="24" spans="1:28" ht="14">
      <c r="A24" s="37" t="s">
        <v>47</v>
      </c>
      <c r="B24" s="181">
        <v>4.0000007882070787E-3</v>
      </c>
      <c r="C24" s="73">
        <f t="shared" si="0"/>
        <v>448406.37743864185</v>
      </c>
      <c r="D24" s="181">
        <v>4.9997117070213551E-3</v>
      </c>
      <c r="E24" s="73">
        <f t="shared" si="0"/>
        <v>117081.93166601553</v>
      </c>
      <c r="F24" s="101">
        <v>2.1177422886614105E-3</v>
      </c>
      <c r="G24" s="73">
        <f t="shared" si="1"/>
        <v>10819754.203636698</v>
      </c>
      <c r="H24" s="181">
        <v>0</v>
      </c>
      <c r="I24" s="73">
        <f t="shared" si="2"/>
        <v>0</v>
      </c>
      <c r="J24" s="181">
        <v>5.2717985889886602E-3</v>
      </c>
      <c r="K24" s="73">
        <f t="shared" si="3"/>
        <v>1436415.187272788</v>
      </c>
      <c r="L24" s="181">
        <v>1.2386698073794607E-2</v>
      </c>
      <c r="M24" s="73">
        <f t="shared" si="4"/>
        <v>8125667.4382588146</v>
      </c>
      <c r="N24" s="181">
        <v>1.2063959116452144E-2</v>
      </c>
      <c r="O24" s="73">
        <f t="shared" si="5"/>
        <v>132411.45550527525</v>
      </c>
      <c r="P24" s="181">
        <v>0</v>
      </c>
      <c r="Q24" s="73">
        <f t="shared" si="6"/>
        <v>0</v>
      </c>
      <c r="R24" s="181">
        <v>4.1416639999999998E-2</v>
      </c>
      <c r="S24" s="73">
        <f t="shared" si="7"/>
        <v>1242499.2</v>
      </c>
      <c r="T24" s="181">
        <v>0</v>
      </c>
      <c r="U24" s="73">
        <f t="shared" si="8"/>
        <v>0</v>
      </c>
      <c r="V24" s="181">
        <v>0</v>
      </c>
      <c r="W24" s="73">
        <f t="shared" si="9"/>
        <v>0</v>
      </c>
      <c r="X24" s="181">
        <v>3.0193503043309047E-3</v>
      </c>
      <c r="Y24" s="73">
        <f t="shared" si="10"/>
        <v>1055011.4947557035</v>
      </c>
      <c r="Z24" s="73">
        <v>1750000</v>
      </c>
      <c r="AA24" s="73">
        <f t="shared" si="11"/>
        <v>2805011.4947557035</v>
      </c>
      <c r="AB24" s="74">
        <f t="shared" si="12"/>
        <v>25127247.288533937</v>
      </c>
    </row>
    <row r="25" spans="1:28" ht="14">
      <c r="A25" s="37" t="s">
        <v>122</v>
      </c>
      <c r="B25" s="181">
        <v>4.7704553788513099E-2</v>
      </c>
      <c r="C25" s="73">
        <f t="shared" si="0"/>
        <v>5347755.4841238167</v>
      </c>
      <c r="D25" s="181">
        <v>4.3961645729089012E-2</v>
      </c>
      <c r="E25" s="73">
        <f t="shared" si="0"/>
        <v>1029482.2387359701</v>
      </c>
      <c r="F25" s="101">
        <v>5.5439815407247899E-2</v>
      </c>
      <c r="G25" s="73">
        <f t="shared" si="1"/>
        <v>283247484.36721504</v>
      </c>
      <c r="H25" s="181">
        <v>7.7014970899263235E-2</v>
      </c>
      <c r="I25" s="73">
        <f t="shared" si="2"/>
        <v>1820213.09228184</v>
      </c>
      <c r="J25" s="181">
        <v>3.7887463031241582E-2</v>
      </c>
      <c r="K25" s="73">
        <f t="shared" si="3"/>
        <v>10323256.168963775</v>
      </c>
      <c r="L25" s="181">
        <v>2.6078669615529973E-2</v>
      </c>
      <c r="M25" s="73">
        <f t="shared" si="4"/>
        <v>17107593.586730964</v>
      </c>
      <c r="N25" s="181">
        <v>2.5802915922351479E-2</v>
      </c>
      <c r="O25" s="73">
        <f t="shared" si="5"/>
        <v>283207.33024529513</v>
      </c>
      <c r="P25" s="181">
        <v>0</v>
      </c>
      <c r="Q25" s="73">
        <f t="shared" si="6"/>
        <v>0</v>
      </c>
      <c r="R25" s="181">
        <v>0</v>
      </c>
      <c r="S25" s="73">
        <f t="shared" si="7"/>
        <v>0</v>
      </c>
      <c r="T25" s="181">
        <v>0.10463183896232617</v>
      </c>
      <c r="U25" s="73">
        <f t="shared" si="8"/>
        <v>260935689.98599488</v>
      </c>
      <c r="V25" s="181">
        <v>0</v>
      </c>
      <c r="W25" s="73">
        <f t="shared" si="9"/>
        <v>0</v>
      </c>
      <c r="X25" s="181">
        <v>4.4062629232095564E-2</v>
      </c>
      <c r="Y25" s="73">
        <f t="shared" si="10"/>
        <v>15396219.598083714</v>
      </c>
      <c r="Z25" s="73">
        <v>1750000</v>
      </c>
      <c r="AA25" s="73">
        <f t="shared" si="11"/>
        <v>17146219.598083712</v>
      </c>
      <c r="AB25" s="74">
        <f t="shared" si="12"/>
        <v>597240901.85237527</v>
      </c>
    </row>
    <row r="26" spans="1:28" ht="14">
      <c r="A26" s="37" t="s">
        <v>48</v>
      </c>
      <c r="B26" s="181">
        <v>1.6268584714793696E-2</v>
      </c>
      <c r="C26" s="73">
        <f t="shared" si="0"/>
        <v>1823733.925133578</v>
      </c>
      <c r="D26" s="181">
        <v>1.6437762914576107E-2</v>
      </c>
      <c r="E26" s="73">
        <f t="shared" si="0"/>
        <v>384935.20168448862</v>
      </c>
      <c r="F26" s="101">
        <v>1.1598251609373387E-2</v>
      </c>
      <c r="G26" s="73">
        <f t="shared" si="1"/>
        <v>59256611.287048571</v>
      </c>
      <c r="H26" s="181">
        <v>0</v>
      </c>
      <c r="I26" s="73">
        <f t="shared" si="2"/>
        <v>0</v>
      </c>
      <c r="J26" s="181">
        <v>2.0578006090248676E-2</v>
      </c>
      <c r="K26" s="73">
        <f t="shared" si="3"/>
        <v>5606921.4278339166</v>
      </c>
      <c r="L26" s="181">
        <v>2.5708246807689385E-2</v>
      </c>
      <c r="M26" s="73">
        <f t="shared" si="4"/>
        <v>16864596.419113994</v>
      </c>
      <c r="N26" s="181">
        <v>2.6394568180055984E-2</v>
      </c>
      <c r="O26" s="73">
        <f t="shared" si="5"/>
        <v>289701.17988780577</v>
      </c>
      <c r="P26" s="181">
        <v>0</v>
      </c>
      <c r="Q26" s="73">
        <f t="shared" si="6"/>
        <v>0</v>
      </c>
      <c r="R26" s="181">
        <v>0</v>
      </c>
      <c r="S26" s="73">
        <f t="shared" si="7"/>
        <v>0</v>
      </c>
      <c r="T26" s="181">
        <v>1.1069161214109289E-3</v>
      </c>
      <c r="U26" s="73">
        <f t="shared" si="8"/>
        <v>2760478.3091022591</v>
      </c>
      <c r="V26" s="181">
        <v>0</v>
      </c>
      <c r="W26" s="73">
        <f t="shared" si="9"/>
        <v>0</v>
      </c>
      <c r="X26" s="181">
        <v>1.3066973341810215E-2</v>
      </c>
      <c r="Y26" s="73">
        <f t="shared" si="10"/>
        <v>4565819.029842943</v>
      </c>
      <c r="Z26" s="73">
        <v>1750000</v>
      </c>
      <c r="AA26" s="73">
        <f t="shared" si="11"/>
        <v>6315819.029842943</v>
      </c>
      <c r="AB26" s="74">
        <f t="shared" si="12"/>
        <v>93302796.779647544</v>
      </c>
    </row>
    <row r="27" spans="1:28" ht="14">
      <c r="A27" s="37" t="s">
        <v>49</v>
      </c>
      <c r="B27" s="181">
        <v>4.3500210315230376E-3</v>
      </c>
      <c r="C27" s="73">
        <f t="shared" ref="C27:E42" si="13">B27*C$67</f>
        <v>487644.19704063534</v>
      </c>
      <c r="D27" s="181">
        <v>5.4368433014395316E-3</v>
      </c>
      <c r="E27" s="73">
        <f t="shared" si="13"/>
        <v>127318.56418921688</v>
      </c>
      <c r="F27" s="101">
        <v>4.1785168276322121E-3</v>
      </c>
      <c r="G27" s="73">
        <f t="shared" si="1"/>
        <v>21348454.555968244</v>
      </c>
      <c r="H27" s="181">
        <v>0</v>
      </c>
      <c r="I27" s="73">
        <f t="shared" si="2"/>
        <v>0</v>
      </c>
      <c r="J27" s="181">
        <v>9.2896155252231629E-3</v>
      </c>
      <c r="K27" s="73">
        <f t="shared" si="3"/>
        <v>2531156.0369978943</v>
      </c>
      <c r="L27" s="181">
        <v>1.965541975786389E-2</v>
      </c>
      <c r="M27" s="73">
        <f t="shared" si="4"/>
        <v>12893945.049784854</v>
      </c>
      <c r="N27" s="181">
        <v>1.9733958098018877E-2</v>
      </c>
      <c r="O27" s="73">
        <f t="shared" si="5"/>
        <v>216595.73689000061</v>
      </c>
      <c r="P27" s="181">
        <v>0</v>
      </c>
      <c r="Q27" s="73">
        <f t="shared" si="6"/>
        <v>0</v>
      </c>
      <c r="R27" s="181">
        <v>0</v>
      </c>
      <c r="S27" s="73">
        <f t="shared" si="7"/>
        <v>0</v>
      </c>
      <c r="T27" s="181">
        <v>0</v>
      </c>
      <c r="U27" s="73">
        <f t="shared" si="8"/>
        <v>0</v>
      </c>
      <c r="V27" s="181">
        <v>0</v>
      </c>
      <c r="W27" s="73">
        <f t="shared" si="9"/>
        <v>0</v>
      </c>
      <c r="X27" s="181">
        <v>5.530684206394073E-3</v>
      </c>
      <c r="Y27" s="73">
        <f t="shared" si="10"/>
        <v>1932513.5620202932</v>
      </c>
      <c r="Z27" s="73">
        <v>1750000</v>
      </c>
      <c r="AA27" s="73">
        <f t="shared" si="11"/>
        <v>3682513.5620202934</v>
      </c>
      <c r="AB27" s="74">
        <f t="shared" si="12"/>
        <v>41287627.702891149</v>
      </c>
    </row>
    <row r="28" spans="1:28" ht="14">
      <c r="A28" s="37" t="s">
        <v>50</v>
      </c>
      <c r="B28" s="181">
        <v>5.8977219304703959E-3</v>
      </c>
      <c r="C28" s="73">
        <f t="shared" si="13"/>
        <v>661143.90121609019</v>
      </c>
      <c r="D28" s="181">
        <v>6.1328929805395472E-3</v>
      </c>
      <c r="E28" s="73">
        <f t="shared" si="13"/>
        <v>143618.47221193201</v>
      </c>
      <c r="F28" s="101">
        <v>3.660778371717615E-3</v>
      </c>
      <c r="G28" s="73">
        <f t="shared" si="1"/>
        <v>18703277.72554893</v>
      </c>
      <c r="H28" s="181">
        <v>0</v>
      </c>
      <c r="I28" s="73">
        <f t="shared" si="2"/>
        <v>0</v>
      </c>
      <c r="J28" s="181">
        <v>8.1962927949747761E-3</v>
      </c>
      <c r="K28" s="73">
        <f t="shared" si="3"/>
        <v>2233256.6867458564</v>
      </c>
      <c r="L28" s="181">
        <v>1.770502651767732E-2</v>
      </c>
      <c r="M28" s="73">
        <f t="shared" si="4"/>
        <v>11614488.107412715</v>
      </c>
      <c r="N28" s="181">
        <v>1.701019083329039E-2</v>
      </c>
      <c r="O28" s="73">
        <f t="shared" si="5"/>
        <v>186700.24532716229</v>
      </c>
      <c r="P28" s="181">
        <v>0</v>
      </c>
      <c r="Q28" s="73">
        <f t="shared" si="6"/>
        <v>0</v>
      </c>
      <c r="R28" s="181">
        <v>3.5838799999999998E-3</v>
      </c>
      <c r="S28" s="73">
        <f t="shared" si="7"/>
        <v>107516.4</v>
      </c>
      <c r="T28" s="181">
        <v>0</v>
      </c>
      <c r="U28" s="73">
        <f t="shared" si="8"/>
        <v>0</v>
      </c>
      <c r="V28" s="181">
        <v>0</v>
      </c>
      <c r="W28" s="73">
        <f t="shared" si="9"/>
        <v>0</v>
      </c>
      <c r="X28" s="181">
        <v>4.9327165828193728E-3</v>
      </c>
      <c r="Y28" s="73">
        <f t="shared" si="10"/>
        <v>1723573.6733766464</v>
      </c>
      <c r="Z28" s="73">
        <v>1750000</v>
      </c>
      <c r="AA28" s="73">
        <f t="shared" si="11"/>
        <v>3473573.6733766464</v>
      </c>
      <c r="AB28" s="74">
        <f t="shared" si="12"/>
        <v>37123575.211839333</v>
      </c>
    </row>
    <row r="29" spans="1:28" ht="14">
      <c r="A29" s="37" t="s">
        <v>51</v>
      </c>
      <c r="B29" s="181">
        <v>6.5866899843342909E-3</v>
      </c>
      <c r="C29" s="73">
        <f t="shared" si="13"/>
        <v>738378.30329792958</v>
      </c>
      <c r="D29" s="181">
        <v>7.6200570030074575E-3</v>
      </c>
      <c r="E29" s="73">
        <f t="shared" si="13"/>
        <v>178444.48752201855</v>
      </c>
      <c r="F29" s="101">
        <v>5.1387281231555565E-3</v>
      </c>
      <c r="G29" s="73">
        <f t="shared" si="1"/>
        <v>26254268.760436445</v>
      </c>
      <c r="H29" s="181">
        <v>0</v>
      </c>
      <c r="I29" s="73">
        <f t="shared" si="2"/>
        <v>0</v>
      </c>
      <c r="J29" s="181">
        <v>1.3276876815404265E-2</v>
      </c>
      <c r="K29" s="73">
        <f t="shared" si="3"/>
        <v>3617571.3421660229</v>
      </c>
      <c r="L29" s="181">
        <v>2.6934131716115035E-2</v>
      </c>
      <c r="M29" s="73">
        <f t="shared" si="4"/>
        <v>17668776.275933225</v>
      </c>
      <c r="N29" s="181">
        <v>2.5733104724428066E-2</v>
      </c>
      <c r="O29" s="73">
        <f t="shared" si="5"/>
        <v>282441.09734957851</v>
      </c>
      <c r="P29" s="181">
        <v>8.8200000000000001E-2</v>
      </c>
      <c r="Q29" s="73">
        <f t="shared" si="6"/>
        <v>1764000</v>
      </c>
      <c r="R29" s="181">
        <v>0</v>
      </c>
      <c r="S29" s="73">
        <f t="shared" si="7"/>
        <v>0</v>
      </c>
      <c r="T29" s="181">
        <v>0</v>
      </c>
      <c r="U29" s="73">
        <f t="shared" si="8"/>
        <v>0</v>
      </c>
      <c r="V29" s="181">
        <v>0</v>
      </c>
      <c r="W29" s="73">
        <f t="shared" si="9"/>
        <v>0</v>
      </c>
      <c r="X29" s="181">
        <v>7.2346981091170699E-3</v>
      </c>
      <c r="Y29" s="73">
        <f t="shared" si="10"/>
        <v>2527924.5191449504</v>
      </c>
      <c r="Z29" s="73">
        <v>1750000</v>
      </c>
      <c r="AA29" s="73">
        <f t="shared" si="11"/>
        <v>4277924.5191449504</v>
      </c>
      <c r="AB29" s="74">
        <f t="shared" si="12"/>
        <v>54781804.785850167</v>
      </c>
    </row>
    <row r="30" spans="1:28" ht="14">
      <c r="A30" s="37" t="s">
        <v>52</v>
      </c>
      <c r="B30" s="181">
        <v>9.531262727726279E-3</v>
      </c>
      <c r="C30" s="73">
        <f t="shared" si="13"/>
        <v>1068469.537495109</v>
      </c>
      <c r="D30" s="181">
        <v>1.1912588870511758E-2</v>
      </c>
      <c r="E30" s="73">
        <f t="shared" si="13"/>
        <v>278965.86800072418</v>
      </c>
      <c r="F30" s="101">
        <v>7.0464327214751332E-3</v>
      </c>
      <c r="G30" s="73">
        <f t="shared" si="1"/>
        <v>36000919.690286867</v>
      </c>
      <c r="H30" s="181">
        <v>1.2964103484238503E-2</v>
      </c>
      <c r="I30" s="73">
        <f t="shared" si="2"/>
        <v>306400.56882672</v>
      </c>
      <c r="J30" s="181">
        <v>1.5663002055443003E-2</v>
      </c>
      <c r="K30" s="73">
        <f t="shared" si="3"/>
        <v>4267722.6094556358</v>
      </c>
      <c r="L30" s="181">
        <v>1.841591101324818E-2</v>
      </c>
      <c r="M30" s="73">
        <f t="shared" si="4"/>
        <v>12080827.963572105</v>
      </c>
      <c r="N30" s="181">
        <v>1.9546946994269922E-2</v>
      </c>
      <c r="O30" s="73">
        <f t="shared" si="5"/>
        <v>214543.14269567202</v>
      </c>
      <c r="P30" s="181">
        <v>0</v>
      </c>
      <c r="Q30" s="73">
        <f t="shared" si="6"/>
        <v>0</v>
      </c>
      <c r="R30" s="181">
        <v>0</v>
      </c>
      <c r="S30" s="73">
        <f t="shared" si="7"/>
        <v>0</v>
      </c>
      <c r="T30" s="181">
        <v>1.6571689170716635E-3</v>
      </c>
      <c r="U30" s="73">
        <f t="shared" si="8"/>
        <v>4132724.0263370886</v>
      </c>
      <c r="V30" s="181">
        <v>6.3462052403915467E-3</v>
      </c>
      <c r="W30" s="73">
        <f t="shared" si="9"/>
        <v>469114.9905959178</v>
      </c>
      <c r="X30" s="181">
        <v>9.5044023996227345E-3</v>
      </c>
      <c r="Y30" s="73">
        <f t="shared" si="10"/>
        <v>3320997.1588930092</v>
      </c>
      <c r="Z30" s="73">
        <v>1750000</v>
      </c>
      <c r="AA30" s="73">
        <f t="shared" si="11"/>
        <v>5070997.1588930096</v>
      </c>
      <c r="AB30" s="74">
        <f t="shared" si="12"/>
        <v>63890685.556158848</v>
      </c>
    </row>
    <row r="31" spans="1:28" ht="14">
      <c r="A31" s="37" t="s">
        <v>53</v>
      </c>
      <c r="B31" s="181">
        <v>4.0000007882070787E-3</v>
      </c>
      <c r="C31" s="73">
        <f t="shared" si="13"/>
        <v>448406.37743864185</v>
      </c>
      <c r="D31" s="181">
        <v>4.9997117070213551E-3</v>
      </c>
      <c r="E31" s="73">
        <f t="shared" si="13"/>
        <v>117081.93166601553</v>
      </c>
      <c r="F31" s="101">
        <v>2.7157332407472825E-3</v>
      </c>
      <c r="G31" s="73">
        <f t="shared" si="1"/>
        <v>13874948.951462921</v>
      </c>
      <c r="H31" s="181">
        <v>0</v>
      </c>
      <c r="I31" s="73">
        <f t="shared" si="2"/>
        <v>0</v>
      </c>
      <c r="J31" s="181">
        <v>4.2678745247134702E-3</v>
      </c>
      <c r="K31" s="73">
        <f t="shared" si="3"/>
        <v>1162874.4310296425</v>
      </c>
      <c r="L31" s="181">
        <v>1.1074647454818532E-2</v>
      </c>
      <c r="M31" s="73">
        <f t="shared" si="4"/>
        <v>7264962.9205216523</v>
      </c>
      <c r="N31" s="181">
        <v>1.3629764932224255E-2</v>
      </c>
      <c r="O31" s="73">
        <f t="shared" si="5"/>
        <v>149597.40790312982</v>
      </c>
      <c r="P31" s="181">
        <v>0</v>
      </c>
      <c r="Q31" s="73">
        <f t="shared" si="6"/>
        <v>0</v>
      </c>
      <c r="R31" s="181">
        <v>2.0924400000000001E-3</v>
      </c>
      <c r="S31" s="73">
        <f t="shared" si="7"/>
        <v>62773.200000000004</v>
      </c>
      <c r="T31" s="181">
        <v>3.2934854087348195E-3</v>
      </c>
      <c r="U31" s="73">
        <f t="shared" si="8"/>
        <v>8213445.3155932631</v>
      </c>
      <c r="V31" s="181">
        <v>0</v>
      </c>
      <c r="W31" s="73">
        <f t="shared" si="9"/>
        <v>0</v>
      </c>
      <c r="X31" s="181">
        <v>1.3062813347491909E-3</v>
      </c>
      <c r="Y31" s="73">
        <f t="shared" si="10"/>
        <v>456436.54582525132</v>
      </c>
      <c r="Z31" s="73">
        <v>1750000</v>
      </c>
      <c r="AA31" s="73">
        <f t="shared" si="11"/>
        <v>2206436.5458252514</v>
      </c>
      <c r="AB31" s="74">
        <f t="shared" si="12"/>
        <v>33500527.081440516</v>
      </c>
    </row>
    <row r="32" spans="1:28" ht="14">
      <c r="A32" s="37" t="s">
        <v>54</v>
      </c>
      <c r="B32" s="181">
        <v>2.2508153931850437E-2</v>
      </c>
      <c r="C32" s="73">
        <f t="shared" si="13"/>
        <v>2523199.4446521783</v>
      </c>
      <c r="D32" s="181">
        <v>2.0663470171890269E-2</v>
      </c>
      <c r="E32" s="73">
        <f t="shared" si="13"/>
        <v>483891.70104556857</v>
      </c>
      <c r="F32" s="101">
        <v>3.162194609592036E-2</v>
      </c>
      <c r="G32" s="73">
        <f t="shared" si="1"/>
        <v>161559641.14725661</v>
      </c>
      <c r="H32" s="181">
        <v>2.7261929059244391E-2</v>
      </c>
      <c r="I32" s="73">
        <f t="shared" si="2"/>
        <v>644323.04024891998</v>
      </c>
      <c r="J32" s="181">
        <v>1.750911926983759E-2</v>
      </c>
      <c r="K32" s="73">
        <f t="shared" si="3"/>
        <v>4770737.0474087438</v>
      </c>
      <c r="L32" s="181">
        <v>8.9155321929826146E-3</v>
      </c>
      <c r="M32" s="73">
        <f t="shared" si="4"/>
        <v>5848584.4414446075</v>
      </c>
      <c r="N32" s="181">
        <v>1.3403561577009523E-2</v>
      </c>
      <c r="O32" s="73">
        <f t="shared" si="5"/>
        <v>147114.64787260944</v>
      </c>
      <c r="P32" s="181">
        <v>3.1800000000000002E-2</v>
      </c>
      <c r="Q32" s="73">
        <f t="shared" si="6"/>
        <v>636000</v>
      </c>
      <c r="R32" s="181">
        <v>0</v>
      </c>
      <c r="S32" s="73">
        <f t="shared" si="7"/>
        <v>0</v>
      </c>
      <c r="T32" s="181">
        <v>2.4820515460663432E-2</v>
      </c>
      <c r="U32" s="73">
        <f t="shared" si="8"/>
        <v>61898542.468208186</v>
      </c>
      <c r="V32" s="181">
        <v>0</v>
      </c>
      <c r="W32" s="73">
        <f t="shared" si="9"/>
        <v>0</v>
      </c>
      <c r="X32" s="181">
        <v>2.295667355980802E-2</v>
      </c>
      <c r="Y32" s="73">
        <f t="shared" si="10"/>
        <v>8021445.6905552428</v>
      </c>
      <c r="Z32" s="73">
        <v>1750000</v>
      </c>
      <c r="AA32" s="73">
        <f t="shared" si="11"/>
        <v>9771445.6905552428</v>
      </c>
      <c r="AB32" s="74">
        <f t="shared" si="12"/>
        <v>248283479.62869266</v>
      </c>
    </row>
    <row r="33" spans="1:28" ht="14">
      <c r="A33" s="37" t="s">
        <v>55</v>
      </c>
      <c r="B33" s="181">
        <v>2.6761469461587657E-2</v>
      </c>
      <c r="C33" s="73">
        <f t="shared" si="13"/>
        <v>3000002.8028954789</v>
      </c>
      <c r="D33" s="181">
        <v>2.5332856176809103E-2</v>
      </c>
      <c r="E33" s="73">
        <f t="shared" si="13"/>
        <v>593238.15243843501</v>
      </c>
      <c r="F33" s="101">
        <v>3.97265088900721E-2</v>
      </c>
      <c r="G33" s="73">
        <f t="shared" si="1"/>
        <v>202966651.73119685</v>
      </c>
      <c r="H33" s="181">
        <v>5.1526044879055322E-2</v>
      </c>
      <c r="I33" s="73">
        <f t="shared" si="2"/>
        <v>1217794.15595748</v>
      </c>
      <c r="J33" s="181">
        <v>2.2606431797646258E-2</v>
      </c>
      <c r="K33" s="73">
        <f t="shared" si="3"/>
        <v>6159609.7453364618</v>
      </c>
      <c r="L33" s="181">
        <v>5.8954713375621703E-3</v>
      </c>
      <c r="M33" s="73">
        <f t="shared" si="4"/>
        <v>3867426.1046343325</v>
      </c>
      <c r="N33" s="181">
        <v>1.0985701140428569E-2</v>
      </c>
      <c r="O33" s="73">
        <f t="shared" si="5"/>
        <v>120576.72474754689</v>
      </c>
      <c r="P33" s="181">
        <v>0</v>
      </c>
      <c r="Q33" s="73">
        <f t="shared" si="6"/>
        <v>0</v>
      </c>
      <c r="R33" s="181">
        <v>0</v>
      </c>
      <c r="S33" s="73">
        <f t="shared" si="7"/>
        <v>0</v>
      </c>
      <c r="T33" s="181">
        <v>5.7666060826049401E-2</v>
      </c>
      <c r="U33" s="73">
        <f t="shared" si="8"/>
        <v>143810273.42774159</v>
      </c>
      <c r="V33" s="181">
        <v>7.1192526277808572E-4</v>
      </c>
      <c r="W33" s="73">
        <f t="shared" si="9"/>
        <v>52625.907972136825</v>
      </c>
      <c r="X33" s="181">
        <v>2.332246484163791E-2</v>
      </c>
      <c r="Y33" s="73">
        <f t="shared" si="10"/>
        <v>8149259.2822601898</v>
      </c>
      <c r="Z33" s="73">
        <v>1750000</v>
      </c>
      <c r="AA33" s="73">
        <f t="shared" si="11"/>
        <v>9899259.2822601907</v>
      </c>
      <c r="AB33" s="74">
        <f t="shared" si="12"/>
        <v>371687458.03518051</v>
      </c>
    </row>
    <row r="34" spans="1:28" ht="14">
      <c r="A34" s="37" t="s">
        <v>56</v>
      </c>
      <c r="B34" s="181">
        <v>2.8064272544592088E-2</v>
      </c>
      <c r="C34" s="73">
        <f t="shared" si="13"/>
        <v>3146049.0768582802</v>
      </c>
      <c r="D34" s="181">
        <v>2.8106884981926147E-2</v>
      </c>
      <c r="E34" s="73">
        <f t="shared" si="13"/>
        <v>658199.62822595995</v>
      </c>
      <c r="F34" s="101">
        <v>1.7936770755980692E-2</v>
      </c>
      <c r="G34" s="73">
        <f t="shared" si="1"/>
        <v>91640730.709192768</v>
      </c>
      <c r="H34" s="181">
        <v>1.3049734785192828E-2</v>
      </c>
      <c r="I34" s="73">
        <f t="shared" si="2"/>
        <v>308424.42488075997</v>
      </c>
      <c r="J34" s="181">
        <v>3.4075173305705156E-2</v>
      </c>
      <c r="K34" s="73">
        <f t="shared" si="3"/>
        <v>9284515.6390272826</v>
      </c>
      <c r="L34" s="181">
        <v>3.3386737908759678E-2</v>
      </c>
      <c r="M34" s="73">
        <f t="shared" si="4"/>
        <v>21901682.553224728</v>
      </c>
      <c r="N34" s="181">
        <v>3.1572938617114597E-2</v>
      </c>
      <c r="O34" s="73">
        <f t="shared" si="5"/>
        <v>346537.87504713651</v>
      </c>
      <c r="P34" s="181">
        <v>0</v>
      </c>
      <c r="Q34" s="73">
        <f t="shared" si="6"/>
        <v>0</v>
      </c>
      <c r="R34" s="181">
        <v>1.4982000000000001E-3</v>
      </c>
      <c r="S34" s="73">
        <f t="shared" si="7"/>
        <v>44946</v>
      </c>
      <c r="T34" s="181">
        <v>5.1262796285633219E-4</v>
      </c>
      <c r="U34" s="73">
        <f t="shared" si="8"/>
        <v>1278415.1795534703</v>
      </c>
      <c r="V34" s="181">
        <v>0</v>
      </c>
      <c r="W34" s="73">
        <f t="shared" si="9"/>
        <v>0</v>
      </c>
      <c r="X34" s="181">
        <v>2.5822289101344945E-2</v>
      </c>
      <c r="Y34" s="73">
        <f t="shared" si="10"/>
        <v>9022739.6879875828</v>
      </c>
      <c r="Z34" s="73">
        <v>1750000</v>
      </c>
      <c r="AA34" s="73">
        <f t="shared" si="11"/>
        <v>10772739.687987583</v>
      </c>
      <c r="AB34" s="74">
        <f t="shared" si="12"/>
        <v>139382240.77399796</v>
      </c>
    </row>
    <row r="35" spans="1:28" ht="14">
      <c r="A35" s="37" t="s">
        <v>57</v>
      </c>
      <c r="B35" s="181">
        <v>1.4502728740063465E-2</v>
      </c>
      <c r="C35" s="73">
        <f t="shared" si="13"/>
        <v>1625778.6939642155</v>
      </c>
      <c r="D35" s="181">
        <v>1.3179201125970673E-2</v>
      </c>
      <c r="E35" s="73">
        <f t="shared" si="13"/>
        <v>308627.06013160583</v>
      </c>
      <c r="F35" s="101">
        <v>1.2441276028574217E-2</v>
      </c>
      <c r="G35" s="73">
        <f t="shared" si="1"/>
        <v>63563706.183463939</v>
      </c>
      <c r="H35" s="181">
        <v>1.412113532122952E-2</v>
      </c>
      <c r="I35" s="73">
        <f t="shared" si="2"/>
        <v>333746.47928135999</v>
      </c>
      <c r="J35" s="181">
        <v>1.4226622577048351E-2</v>
      </c>
      <c r="K35" s="73">
        <f t="shared" si="3"/>
        <v>3876350.0517553892</v>
      </c>
      <c r="L35" s="181">
        <v>2.4944885073894217E-2</v>
      </c>
      <c r="M35" s="73">
        <f t="shared" si="4"/>
        <v>16363831.522209393</v>
      </c>
      <c r="N35" s="181">
        <v>2.3183629924150746E-2</v>
      </c>
      <c r="O35" s="73">
        <f t="shared" si="5"/>
        <v>254458.60289480464</v>
      </c>
      <c r="P35" s="181">
        <v>0</v>
      </c>
      <c r="Q35" s="73">
        <f t="shared" si="6"/>
        <v>0</v>
      </c>
      <c r="R35" s="181">
        <v>6.4973760000000005E-2</v>
      </c>
      <c r="S35" s="73">
        <f t="shared" si="7"/>
        <v>1949212.8</v>
      </c>
      <c r="T35" s="181">
        <v>2.9883284321942211E-3</v>
      </c>
      <c r="U35" s="73">
        <f t="shared" si="8"/>
        <v>7452430.8192664664</v>
      </c>
      <c r="V35" s="181">
        <v>0.10960952530449433</v>
      </c>
      <c r="W35" s="73">
        <f t="shared" si="9"/>
        <v>8102396.547967365</v>
      </c>
      <c r="X35" s="181">
        <v>1.4769228994015121E-2</v>
      </c>
      <c r="Y35" s="73">
        <f t="shared" si="10"/>
        <v>5160615.6248299619</v>
      </c>
      <c r="Z35" s="73">
        <v>1750000</v>
      </c>
      <c r="AA35" s="73">
        <f t="shared" si="11"/>
        <v>6910615.6248299619</v>
      </c>
      <c r="AB35" s="74">
        <f t="shared" si="12"/>
        <v>110741154.38576448</v>
      </c>
    </row>
    <row r="36" spans="1:28" ht="14">
      <c r="A36" s="37" t="s">
        <v>58</v>
      </c>
      <c r="B36" s="181">
        <v>4.0000007882070787E-3</v>
      </c>
      <c r="C36" s="73">
        <f t="shared" si="13"/>
        <v>448406.37743864185</v>
      </c>
      <c r="D36" s="181">
        <v>4.9997117070213551E-3</v>
      </c>
      <c r="E36" s="73">
        <f t="shared" si="13"/>
        <v>117081.93166601553</v>
      </c>
      <c r="F36" s="101">
        <v>1.7393703949369497E-3</v>
      </c>
      <c r="G36" s="73">
        <f t="shared" si="1"/>
        <v>8886614.8837193102</v>
      </c>
      <c r="H36" s="181">
        <v>0</v>
      </c>
      <c r="I36" s="73">
        <f t="shared" si="2"/>
        <v>0</v>
      </c>
      <c r="J36" s="181">
        <v>8.044116589003978E-3</v>
      </c>
      <c r="K36" s="73">
        <f t="shared" si="3"/>
        <v>2191792.9984603105</v>
      </c>
      <c r="L36" s="181">
        <v>2.2599961708368969E-2</v>
      </c>
      <c r="M36" s="73">
        <f t="shared" si="4"/>
        <v>14825563.024588408</v>
      </c>
      <c r="N36" s="181">
        <v>2.2570120449282634E-2</v>
      </c>
      <c r="O36" s="73">
        <f t="shared" si="5"/>
        <v>247724.85307441783</v>
      </c>
      <c r="P36" s="181">
        <v>1.2699999999999999E-2</v>
      </c>
      <c r="Q36" s="73">
        <f t="shared" si="6"/>
        <v>254000</v>
      </c>
      <c r="R36" s="181">
        <v>3.0188320000000001E-2</v>
      </c>
      <c r="S36" s="73">
        <f t="shared" si="7"/>
        <v>905649.6</v>
      </c>
      <c r="T36" s="181">
        <v>0</v>
      </c>
      <c r="U36" s="73">
        <f t="shared" si="8"/>
        <v>0</v>
      </c>
      <c r="V36" s="181">
        <v>0</v>
      </c>
      <c r="W36" s="73">
        <f t="shared" si="9"/>
        <v>0</v>
      </c>
      <c r="X36" s="181">
        <v>2.2617568348459508E-3</v>
      </c>
      <c r="Y36" s="73">
        <f t="shared" si="10"/>
        <v>790295.66581991501</v>
      </c>
      <c r="Z36" s="73">
        <v>1750000</v>
      </c>
      <c r="AA36" s="73">
        <f t="shared" si="11"/>
        <v>2540295.665819915</v>
      </c>
      <c r="AB36" s="74">
        <f t="shared" si="12"/>
        <v>30417129.334767014</v>
      </c>
    </row>
    <row r="37" spans="1:28" ht="14">
      <c r="A37" s="37" t="s">
        <v>59</v>
      </c>
      <c r="B37" s="181">
        <v>1.5553990547464145E-2</v>
      </c>
      <c r="C37" s="73">
        <f t="shared" si="13"/>
        <v>1743626.7954410731</v>
      </c>
      <c r="D37" s="181">
        <v>1.4524641105794968E-2</v>
      </c>
      <c r="E37" s="73">
        <f t="shared" si="13"/>
        <v>340134.21914585266</v>
      </c>
      <c r="F37" s="101">
        <v>1.0046129820876557E-2</v>
      </c>
      <c r="G37" s="73">
        <f t="shared" si="1"/>
        <v>51326668.000011683</v>
      </c>
      <c r="H37" s="181">
        <v>3.0173169008556402E-2</v>
      </c>
      <c r="I37" s="73">
        <f t="shared" si="2"/>
        <v>713128.84525847994</v>
      </c>
      <c r="J37" s="181">
        <v>1.891439157024296E-2</v>
      </c>
      <c r="K37" s="73">
        <f t="shared" si="3"/>
        <v>5153633.7837848729</v>
      </c>
      <c r="L37" s="181">
        <v>2.828471879090658E-2</v>
      </c>
      <c r="M37" s="73">
        <f t="shared" si="4"/>
        <v>18554760.688468836</v>
      </c>
      <c r="N37" s="181">
        <v>2.6024314458275938E-2</v>
      </c>
      <c r="O37" s="73">
        <f t="shared" si="5"/>
        <v>285637.35359878244</v>
      </c>
      <c r="P37" s="181">
        <v>0</v>
      </c>
      <c r="Q37" s="73">
        <f t="shared" si="6"/>
        <v>0</v>
      </c>
      <c r="R37" s="181">
        <v>0</v>
      </c>
      <c r="S37" s="73">
        <f t="shared" si="7"/>
        <v>0</v>
      </c>
      <c r="T37" s="181">
        <v>7.1253402151907107E-3</v>
      </c>
      <c r="U37" s="73">
        <f t="shared" si="8"/>
        <v>17769500.984353248</v>
      </c>
      <c r="V37" s="181">
        <v>4.1361788010482975E-4</v>
      </c>
      <c r="W37" s="73">
        <f t="shared" si="9"/>
        <v>30574.861761594897</v>
      </c>
      <c r="X37" s="181">
        <v>1.2480709934853387E-2</v>
      </c>
      <c r="Y37" s="73">
        <f t="shared" si="10"/>
        <v>4360968.7902377844</v>
      </c>
      <c r="Z37" s="73">
        <v>1750000</v>
      </c>
      <c r="AA37" s="73">
        <f t="shared" si="11"/>
        <v>6110968.7902377844</v>
      </c>
      <c r="AB37" s="74">
        <f t="shared" si="12"/>
        <v>102028634.32206221</v>
      </c>
    </row>
    <row r="38" spans="1:28" ht="14">
      <c r="A38" s="37" t="s">
        <v>123</v>
      </c>
      <c r="B38" s="181">
        <v>4.0000007882070787E-3</v>
      </c>
      <c r="C38" s="73">
        <f t="shared" si="13"/>
        <v>448406.37743864185</v>
      </c>
      <c r="D38" s="181">
        <v>4.9997117070213551E-3</v>
      </c>
      <c r="E38" s="73">
        <f t="shared" si="13"/>
        <v>117081.93166601553</v>
      </c>
      <c r="F38" s="101">
        <v>9.2114931864011485E-4</v>
      </c>
      <c r="G38" s="73">
        <f t="shared" si="1"/>
        <v>4706242.712295834</v>
      </c>
      <c r="H38" s="181">
        <v>0</v>
      </c>
      <c r="I38" s="73">
        <f t="shared" si="2"/>
        <v>0</v>
      </c>
      <c r="J38" s="181">
        <v>3.2486512752591336E-3</v>
      </c>
      <c r="K38" s="73">
        <f t="shared" si="3"/>
        <v>885165.08192899916</v>
      </c>
      <c r="L38" s="181">
        <v>1.6107108197156446E-2</v>
      </c>
      <c r="M38" s="73">
        <f t="shared" si="4"/>
        <v>10566254.527430408</v>
      </c>
      <c r="N38" s="181">
        <v>1.1692857485385576E-2</v>
      </c>
      <c r="O38" s="73">
        <f t="shared" si="5"/>
        <v>128338.32274383427</v>
      </c>
      <c r="P38" s="181">
        <v>0</v>
      </c>
      <c r="Q38" s="73">
        <f t="shared" si="6"/>
        <v>0</v>
      </c>
      <c r="R38" s="181">
        <v>6.4205040000000005E-2</v>
      </c>
      <c r="S38" s="73">
        <f t="shared" si="7"/>
        <v>1926151.2000000002</v>
      </c>
      <c r="T38" s="181">
        <v>0</v>
      </c>
      <c r="U38" s="73">
        <f t="shared" si="8"/>
        <v>0</v>
      </c>
      <c r="V38" s="181">
        <v>0</v>
      </c>
      <c r="W38" s="73">
        <f t="shared" si="9"/>
        <v>0</v>
      </c>
      <c r="X38" s="181">
        <v>1.1535523047198452E-3</v>
      </c>
      <c r="Y38" s="73">
        <f t="shared" si="10"/>
        <v>403070.46835066169</v>
      </c>
      <c r="Z38" s="73">
        <v>1750000</v>
      </c>
      <c r="AA38" s="73">
        <f t="shared" si="11"/>
        <v>2153070.4683506619</v>
      </c>
      <c r="AB38" s="74">
        <f t="shared" si="12"/>
        <v>20930710.621854395</v>
      </c>
    </row>
    <row r="39" spans="1:28" ht="14">
      <c r="A39" s="37" t="s">
        <v>60</v>
      </c>
      <c r="B39" s="181">
        <v>0</v>
      </c>
      <c r="C39" s="73">
        <f t="shared" si="13"/>
        <v>0</v>
      </c>
      <c r="D39" s="181">
        <v>0</v>
      </c>
      <c r="E39" s="73">
        <f t="shared" si="13"/>
        <v>0</v>
      </c>
      <c r="F39" s="101"/>
      <c r="G39" s="73">
        <f t="shared" si="1"/>
        <v>0</v>
      </c>
      <c r="H39" s="181">
        <v>0</v>
      </c>
      <c r="I39" s="73">
        <f t="shared" si="2"/>
        <v>0</v>
      </c>
      <c r="J39" s="181">
        <v>3.6626381375819872E-5</v>
      </c>
      <c r="K39" s="73">
        <f t="shared" si="3"/>
        <v>9979.6472826109366</v>
      </c>
      <c r="L39" s="181">
        <v>4.6732749716112403E-4</v>
      </c>
      <c r="M39" s="73">
        <f t="shared" si="4"/>
        <v>306566.59297434817</v>
      </c>
      <c r="N39" s="181">
        <v>1.3547706155717786E-3</v>
      </c>
      <c r="O39" s="73">
        <f t="shared" si="5"/>
        <v>14869.674818360327</v>
      </c>
      <c r="P39" s="181">
        <v>0</v>
      </c>
      <c r="Q39" s="73">
        <f t="shared" si="6"/>
        <v>0</v>
      </c>
      <c r="R39" s="181">
        <v>0</v>
      </c>
      <c r="S39" s="73">
        <f t="shared" si="7"/>
        <v>0</v>
      </c>
      <c r="T39" s="181">
        <v>0</v>
      </c>
      <c r="U39" s="73">
        <f t="shared" si="8"/>
        <v>0</v>
      </c>
      <c r="V39" s="181">
        <v>0</v>
      </c>
      <c r="W39" s="73">
        <f t="shared" si="9"/>
        <v>0</v>
      </c>
      <c r="X39" s="181">
        <v>0</v>
      </c>
      <c r="Y39" s="73">
        <f t="shared" si="10"/>
        <v>0</v>
      </c>
      <c r="Z39" s="73">
        <v>500000</v>
      </c>
      <c r="AA39" s="73">
        <f t="shared" si="11"/>
        <v>500000</v>
      </c>
      <c r="AB39" s="74">
        <f t="shared" si="12"/>
        <v>831415.91507531935</v>
      </c>
    </row>
    <row r="40" spans="1:28" ht="14">
      <c r="A40" s="37" t="s">
        <v>61</v>
      </c>
      <c r="B40" s="181">
        <v>4.0000007882070787E-3</v>
      </c>
      <c r="C40" s="73">
        <f t="shared" si="13"/>
        <v>448406.37743864185</v>
      </c>
      <c r="D40" s="181">
        <v>4.9997117070213551E-3</v>
      </c>
      <c r="E40" s="73">
        <f t="shared" si="13"/>
        <v>117081.93166601553</v>
      </c>
      <c r="F40" s="101">
        <v>2.3120701721984663E-3</v>
      </c>
      <c r="G40" s="73">
        <f t="shared" si="1"/>
        <v>11812594.525162736</v>
      </c>
      <c r="H40" s="181">
        <v>0</v>
      </c>
      <c r="I40" s="73">
        <f t="shared" si="2"/>
        <v>0</v>
      </c>
      <c r="J40" s="181">
        <v>4.7748333585096014E-3</v>
      </c>
      <c r="K40" s="73">
        <f t="shared" si="3"/>
        <v>1301006.2954957625</v>
      </c>
      <c r="L40" s="181">
        <v>1.2341234079197157E-2</v>
      </c>
      <c r="M40" s="73">
        <f t="shared" si="4"/>
        <v>8095843.0816536238</v>
      </c>
      <c r="N40" s="181">
        <v>1.2587684419092166E-2</v>
      </c>
      <c r="O40" s="73">
        <f t="shared" si="5"/>
        <v>138159.75330188617</v>
      </c>
      <c r="P40" s="181">
        <v>0</v>
      </c>
      <c r="Q40" s="73">
        <f t="shared" si="6"/>
        <v>0</v>
      </c>
      <c r="R40" s="181">
        <v>1.8680760000000001E-2</v>
      </c>
      <c r="S40" s="73">
        <f t="shared" si="7"/>
        <v>560422.80000000005</v>
      </c>
      <c r="T40" s="181">
        <v>0</v>
      </c>
      <c r="U40" s="73">
        <f t="shared" si="8"/>
        <v>0</v>
      </c>
      <c r="V40" s="181">
        <v>0</v>
      </c>
      <c r="W40" s="73">
        <f t="shared" si="9"/>
        <v>0</v>
      </c>
      <c r="X40" s="181">
        <v>3.3709029813361584E-3</v>
      </c>
      <c r="Y40" s="73">
        <f t="shared" si="10"/>
        <v>1177849.8797952535</v>
      </c>
      <c r="Z40" s="73">
        <v>1750000</v>
      </c>
      <c r="AA40" s="73">
        <f t="shared" si="11"/>
        <v>2927849.8797952533</v>
      </c>
      <c r="AB40" s="74">
        <f t="shared" si="12"/>
        <v>25401364.64451392</v>
      </c>
    </row>
    <row r="41" spans="1:28" ht="14">
      <c r="A41" s="37" t="s">
        <v>62</v>
      </c>
      <c r="B41" s="181">
        <v>1.0824898211735486E-2</v>
      </c>
      <c r="C41" s="73">
        <f t="shared" si="13"/>
        <v>1213488.1091966059</v>
      </c>
      <c r="D41" s="181">
        <v>1.0009506029949908E-2</v>
      </c>
      <c r="E41" s="73">
        <f t="shared" si="13"/>
        <v>234399.97537525216</v>
      </c>
      <c r="F41" s="101">
        <v>8.2985320456349376E-3</v>
      </c>
      <c r="G41" s="73">
        <f t="shared" si="1"/>
        <v>42398018.618934982</v>
      </c>
      <c r="H41" s="181">
        <v>0</v>
      </c>
      <c r="I41" s="73">
        <f t="shared" si="2"/>
        <v>0</v>
      </c>
      <c r="J41" s="181">
        <v>8.0205754970083427E-3</v>
      </c>
      <c r="K41" s="73">
        <f t="shared" si="3"/>
        <v>2185378.7203924521</v>
      </c>
      <c r="L41" s="181">
        <v>1.0390934629218185E-2</v>
      </c>
      <c r="M41" s="73">
        <f t="shared" si="4"/>
        <v>6816447.6656084666</v>
      </c>
      <c r="N41" s="181">
        <v>8.9135992684615528E-3</v>
      </c>
      <c r="O41" s="73">
        <f t="shared" si="5"/>
        <v>97833.774263887855</v>
      </c>
      <c r="P41" s="181">
        <v>0</v>
      </c>
      <c r="Q41" s="73">
        <f t="shared" si="6"/>
        <v>0</v>
      </c>
      <c r="R41" s="181">
        <v>3.3834799999999999E-3</v>
      </c>
      <c r="S41" s="73">
        <f t="shared" si="7"/>
        <v>101504.4</v>
      </c>
      <c r="T41" s="181">
        <v>9.8586354362418692E-4</v>
      </c>
      <c r="U41" s="73">
        <f t="shared" si="8"/>
        <v>2458591.8257657667</v>
      </c>
      <c r="V41" s="181">
        <v>0</v>
      </c>
      <c r="W41" s="73">
        <f t="shared" si="9"/>
        <v>0</v>
      </c>
      <c r="X41" s="181">
        <v>1.0746402356736762E-2</v>
      </c>
      <c r="Y41" s="73">
        <f t="shared" si="10"/>
        <v>3754972.716270993</v>
      </c>
      <c r="Z41" s="73">
        <v>1750000</v>
      </c>
      <c r="AA41" s="73">
        <f t="shared" si="11"/>
        <v>5504972.7162709925</v>
      </c>
      <c r="AB41" s="74">
        <f t="shared" si="12"/>
        <v>61010635.805808403</v>
      </c>
    </row>
    <row r="42" spans="1:28" ht="14">
      <c r="A42" s="37" t="s">
        <v>63</v>
      </c>
      <c r="B42" s="181">
        <v>4.0000007882070787E-3</v>
      </c>
      <c r="C42" s="73">
        <f t="shared" si="13"/>
        <v>448406.37743864185</v>
      </c>
      <c r="D42" s="181">
        <v>4.9997117070213551E-3</v>
      </c>
      <c r="E42" s="73">
        <f t="shared" si="13"/>
        <v>117081.93166601553</v>
      </c>
      <c r="F42" s="101">
        <v>1.6685693837499463E-3</v>
      </c>
      <c r="G42" s="73">
        <f t="shared" si="1"/>
        <v>8524885.5351985712</v>
      </c>
      <c r="H42" s="181">
        <v>0</v>
      </c>
      <c r="I42" s="73">
        <f t="shared" si="2"/>
        <v>0</v>
      </c>
      <c r="J42" s="181">
        <v>4.2874772126035828E-3</v>
      </c>
      <c r="K42" s="73">
        <f t="shared" si="3"/>
        <v>1168215.6059856697</v>
      </c>
      <c r="L42" s="181">
        <v>6.3390844658535936E-3</v>
      </c>
      <c r="M42" s="73">
        <f t="shared" si="4"/>
        <v>4158436.0840708846</v>
      </c>
      <c r="N42" s="181">
        <v>1.1432643546567131E-2</v>
      </c>
      <c r="O42" s="73">
        <f t="shared" si="5"/>
        <v>125482.26976411862</v>
      </c>
      <c r="P42" s="181">
        <v>0</v>
      </c>
      <c r="Q42" s="73">
        <f t="shared" si="6"/>
        <v>0</v>
      </c>
      <c r="R42" s="181">
        <v>0</v>
      </c>
      <c r="S42" s="73">
        <f t="shared" si="7"/>
        <v>0</v>
      </c>
      <c r="T42" s="181">
        <v>0</v>
      </c>
      <c r="U42" s="73">
        <f t="shared" si="8"/>
        <v>0</v>
      </c>
      <c r="V42" s="181">
        <v>0</v>
      </c>
      <c r="W42" s="73">
        <f t="shared" si="9"/>
        <v>0</v>
      </c>
      <c r="X42" s="181">
        <v>1.9802717383737476E-3</v>
      </c>
      <c r="Y42" s="73">
        <f t="shared" si="10"/>
        <v>691940.06529399275</v>
      </c>
      <c r="Z42" s="73">
        <v>1750000</v>
      </c>
      <c r="AA42" s="73">
        <f t="shared" si="11"/>
        <v>2441940.0652939929</v>
      </c>
      <c r="AB42" s="74">
        <f t="shared" si="12"/>
        <v>16984447.869417895</v>
      </c>
    </row>
    <row r="43" spans="1:28" ht="14">
      <c r="A43" s="37" t="s">
        <v>64</v>
      </c>
      <c r="B43" s="181">
        <v>3.87170788775432E-2</v>
      </c>
      <c r="C43" s="73">
        <f t="shared" ref="C43:E58" si="14">B43*C$67</f>
        <v>4340245.415868286</v>
      </c>
      <c r="D43" s="181">
        <v>3.4746745857539799E-2</v>
      </c>
      <c r="E43" s="73">
        <f t="shared" si="14"/>
        <v>813690.14105266822</v>
      </c>
      <c r="F43" s="101">
        <v>8.0129951889735804E-2</v>
      </c>
      <c r="G43" s="73">
        <f t="shared" si="1"/>
        <v>409391826.58725816</v>
      </c>
      <c r="H43" s="181">
        <v>4.0435154138584548E-2</v>
      </c>
      <c r="I43" s="73">
        <f t="shared" si="2"/>
        <v>955666.10091635992</v>
      </c>
      <c r="J43" s="181">
        <v>2.7761775583581769E-2</v>
      </c>
      <c r="K43" s="73">
        <f t="shared" si="3"/>
        <v>7564294.310713754</v>
      </c>
      <c r="L43" s="181">
        <v>6.1351651496623439E-3</v>
      </c>
      <c r="M43" s="73">
        <f t="shared" si="4"/>
        <v>4024665.1196269575</v>
      </c>
      <c r="N43" s="181">
        <v>1.1345968375056279E-2</v>
      </c>
      <c r="O43" s="73">
        <f t="shared" si="5"/>
        <v>124530.94147254061</v>
      </c>
      <c r="P43" s="181">
        <v>0</v>
      </c>
      <c r="Q43" s="73">
        <f t="shared" si="6"/>
        <v>0</v>
      </c>
      <c r="R43" s="181">
        <v>0</v>
      </c>
      <c r="S43" s="73">
        <f t="shared" si="7"/>
        <v>0</v>
      </c>
      <c r="T43" s="181">
        <v>7.0630846897513783E-2</v>
      </c>
      <c r="U43" s="73">
        <f t="shared" si="8"/>
        <v>176142452.93092752</v>
      </c>
      <c r="V43" s="181">
        <v>0</v>
      </c>
      <c r="W43" s="73">
        <f t="shared" si="9"/>
        <v>0</v>
      </c>
      <c r="X43" s="181">
        <v>4.5934029447025619E-2</v>
      </c>
      <c r="Y43" s="73">
        <f t="shared" si="10"/>
        <v>16050118.132217871</v>
      </c>
      <c r="Z43" s="73">
        <v>1750000</v>
      </c>
      <c r="AA43" s="73">
        <f t="shared" si="11"/>
        <v>17800118.132217869</v>
      </c>
      <c r="AB43" s="74">
        <f t="shared" si="12"/>
        <v>621157489.68005419</v>
      </c>
    </row>
    <row r="44" spans="1:28" ht="14">
      <c r="A44" s="37" t="s">
        <v>65</v>
      </c>
      <c r="B44" s="181">
        <v>4.0000007882070787E-3</v>
      </c>
      <c r="C44" s="73">
        <f t="shared" si="14"/>
        <v>448406.37743864185</v>
      </c>
      <c r="D44" s="181">
        <v>4.9997117070213551E-3</v>
      </c>
      <c r="E44" s="73">
        <f t="shared" si="14"/>
        <v>117081.93166601553</v>
      </c>
      <c r="F44" s="101">
        <v>4.9448817831256415E-3</v>
      </c>
      <c r="G44" s="73">
        <f t="shared" si="1"/>
        <v>25263888.692178011</v>
      </c>
      <c r="H44" s="181">
        <v>0</v>
      </c>
      <c r="I44" s="73">
        <f t="shared" si="2"/>
        <v>0</v>
      </c>
      <c r="J44" s="181">
        <v>6.6862216586964091E-3</v>
      </c>
      <c r="K44" s="73">
        <f t="shared" si="3"/>
        <v>1821805.2480389311</v>
      </c>
      <c r="L44" s="181">
        <v>1.6648017346324252E-2</v>
      </c>
      <c r="M44" s="73">
        <f t="shared" si="4"/>
        <v>10921090.645519678</v>
      </c>
      <c r="N44" s="181">
        <v>1.3417128125593831E-2</v>
      </c>
      <c r="O44" s="73">
        <f t="shared" si="5"/>
        <v>147263.55143129121</v>
      </c>
      <c r="P44" s="181">
        <v>0</v>
      </c>
      <c r="Q44" s="73">
        <f t="shared" si="6"/>
        <v>0</v>
      </c>
      <c r="R44" s="181">
        <v>2.4074000000000002E-2</v>
      </c>
      <c r="S44" s="73">
        <f t="shared" si="7"/>
        <v>722220</v>
      </c>
      <c r="T44" s="181">
        <v>1.8145953140976613E-3</v>
      </c>
      <c r="U44" s="73">
        <f t="shared" si="8"/>
        <v>4525321.2122164126</v>
      </c>
      <c r="V44" s="181">
        <v>0</v>
      </c>
      <c r="W44" s="73">
        <f t="shared" si="9"/>
        <v>0</v>
      </c>
      <c r="X44" s="181">
        <v>4.6435670553755552E-3</v>
      </c>
      <c r="Y44" s="73">
        <f t="shared" si="10"/>
        <v>1622539.9924821705</v>
      </c>
      <c r="Z44" s="73">
        <v>1750000</v>
      </c>
      <c r="AA44" s="73">
        <f t="shared" si="11"/>
        <v>3372539.9924821705</v>
      </c>
      <c r="AB44" s="74">
        <f t="shared" si="12"/>
        <v>47339617.650971159</v>
      </c>
    </row>
    <row r="45" spans="1:28" ht="14">
      <c r="A45" s="37" t="s">
        <v>66</v>
      </c>
      <c r="B45" s="181">
        <v>7.3115768224293026E-2</v>
      </c>
      <c r="C45" s="73">
        <f t="shared" si="14"/>
        <v>8196392.5756609868</v>
      </c>
      <c r="D45" s="181">
        <v>6.8629442085214168E-2</v>
      </c>
      <c r="E45" s="73">
        <f t="shared" si="14"/>
        <v>1607146.1954923265</v>
      </c>
      <c r="F45" s="101">
        <v>0.13372751877164624</v>
      </c>
      <c r="G45" s="73">
        <f t="shared" si="1"/>
        <v>683227081.55673909</v>
      </c>
      <c r="H45" s="181">
        <v>0.10522978928599463</v>
      </c>
      <c r="I45" s="73">
        <f t="shared" si="2"/>
        <v>2487057.2295218399</v>
      </c>
      <c r="J45" s="181">
        <v>6.0978062188037807E-2</v>
      </c>
      <c r="K45" s="73">
        <f t="shared" si="3"/>
        <v>16614787.750107355</v>
      </c>
      <c r="L45" s="181">
        <v>3.3164713848356689E-2</v>
      </c>
      <c r="M45" s="73">
        <f t="shared" si="4"/>
        <v>21756034.88607578</v>
      </c>
      <c r="N45" s="181">
        <v>3.185218340880825E-2</v>
      </c>
      <c r="O45" s="73">
        <f t="shared" si="5"/>
        <v>349602.80663000297</v>
      </c>
      <c r="P45" s="181">
        <v>0.01</v>
      </c>
      <c r="Q45" s="73">
        <f t="shared" si="6"/>
        <v>200000</v>
      </c>
      <c r="R45" s="181">
        <v>2.2762400000000001E-3</v>
      </c>
      <c r="S45" s="73">
        <f t="shared" si="7"/>
        <v>68287.199999999997</v>
      </c>
      <c r="T45" s="181">
        <v>0.2894780332818534</v>
      </c>
      <c r="U45" s="73">
        <f t="shared" si="8"/>
        <v>721913626.8587085</v>
      </c>
      <c r="V45" s="181">
        <v>0.11208081801001353</v>
      </c>
      <c r="W45" s="73">
        <f t="shared" si="9"/>
        <v>8285075.8674023403</v>
      </c>
      <c r="X45" s="181">
        <v>9.0795984923444178E-2</v>
      </c>
      <c r="Y45" s="73">
        <f t="shared" si="10"/>
        <v>31725635.688743521</v>
      </c>
      <c r="Z45" s="73">
        <v>1750000</v>
      </c>
      <c r="AA45" s="73">
        <f t="shared" si="11"/>
        <v>33475635.688743521</v>
      </c>
      <c r="AB45" s="74">
        <f t="shared" si="12"/>
        <v>1498180728.615082</v>
      </c>
    </row>
    <row r="46" spans="1:28" ht="14">
      <c r="A46" s="37" t="s">
        <v>67</v>
      </c>
      <c r="B46" s="181">
        <v>1.9700860587946744E-2</v>
      </c>
      <c r="C46" s="73">
        <f t="shared" si="14"/>
        <v>2208497.4469778975</v>
      </c>
      <c r="D46" s="181">
        <v>2.2419809485698858E-2</v>
      </c>
      <c r="E46" s="73">
        <f t="shared" si="14"/>
        <v>525021.19241861894</v>
      </c>
      <c r="F46" s="101">
        <v>1.3852851412643918E-2</v>
      </c>
      <c r="G46" s="73">
        <f t="shared" si="1"/>
        <v>70775584.029654548</v>
      </c>
      <c r="H46" s="181">
        <v>1.5244345261458065E-2</v>
      </c>
      <c r="I46" s="73">
        <f t="shared" si="2"/>
        <v>360293.02490376</v>
      </c>
      <c r="J46" s="181">
        <v>2.8043783184064711E-2</v>
      </c>
      <c r="K46" s="73">
        <f t="shared" si="3"/>
        <v>7641133.361641488</v>
      </c>
      <c r="L46" s="181">
        <v>4.2778040334659893E-2</v>
      </c>
      <c r="M46" s="73">
        <f t="shared" si="4"/>
        <v>28062372.017870814</v>
      </c>
      <c r="N46" s="181">
        <v>3.9071094649946778E-2</v>
      </c>
      <c r="O46" s="73">
        <f t="shared" si="5"/>
        <v>428836.04468855949</v>
      </c>
      <c r="P46" s="181">
        <v>7.2499999999999995E-2</v>
      </c>
      <c r="Q46" s="73">
        <f t="shared" si="6"/>
        <v>1450000</v>
      </c>
      <c r="R46" s="181">
        <v>2.251676E-2</v>
      </c>
      <c r="S46" s="73">
        <f t="shared" si="7"/>
        <v>675502.8</v>
      </c>
      <c r="T46" s="181">
        <v>2.7376326272431062E-4</v>
      </c>
      <c r="U46" s="73">
        <f t="shared" si="8"/>
        <v>682723.40962587867</v>
      </c>
      <c r="V46" s="181">
        <v>5.9437333675046427E-3</v>
      </c>
      <c r="W46" s="73">
        <f t="shared" si="9"/>
        <v>439364.04783365497</v>
      </c>
      <c r="X46" s="181">
        <v>1.9061456754146635E-2</v>
      </c>
      <c r="Y46" s="73">
        <f t="shared" si="10"/>
        <v>6660391.7914287457</v>
      </c>
      <c r="Z46" s="73">
        <v>1750000</v>
      </c>
      <c r="AA46" s="73">
        <f t="shared" si="11"/>
        <v>8410391.7914287448</v>
      </c>
      <c r="AB46" s="74">
        <f t="shared" si="12"/>
        <v>121659719.16704394</v>
      </c>
    </row>
    <row r="47" spans="1:28" ht="14">
      <c r="A47" s="37" t="s">
        <v>68</v>
      </c>
      <c r="B47" s="181">
        <v>4.0000007882070787E-3</v>
      </c>
      <c r="C47" s="73">
        <f t="shared" si="14"/>
        <v>448406.37743864185</v>
      </c>
      <c r="D47" s="181">
        <v>4.9997117070213551E-3</v>
      </c>
      <c r="E47" s="73">
        <f t="shared" si="14"/>
        <v>117081.93166601553</v>
      </c>
      <c r="F47" s="101">
        <v>1.0278326736055446E-3</v>
      </c>
      <c r="G47" s="73">
        <f t="shared" si="1"/>
        <v>5251298.4938824028</v>
      </c>
      <c r="H47" s="181">
        <v>0</v>
      </c>
      <c r="I47" s="73">
        <f t="shared" si="2"/>
        <v>0</v>
      </c>
      <c r="J47" s="181">
        <v>2.2427657769866168E-3</v>
      </c>
      <c r="K47" s="73">
        <f t="shared" si="3"/>
        <v>611089.89070412319</v>
      </c>
      <c r="L47" s="181">
        <v>8.2667303465522625E-3</v>
      </c>
      <c r="M47" s="73">
        <f t="shared" si="4"/>
        <v>5422970.7705523884</v>
      </c>
      <c r="N47" s="181">
        <v>9.2137591558893468E-3</v>
      </c>
      <c r="O47" s="73">
        <f t="shared" si="5"/>
        <v>101128.26549972205</v>
      </c>
      <c r="P47" s="181">
        <v>0</v>
      </c>
      <c r="Q47" s="73">
        <f t="shared" si="6"/>
        <v>0</v>
      </c>
      <c r="R47" s="181">
        <v>2.9132999999999999E-2</v>
      </c>
      <c r="S47" s="73">
        <f t="shared" si="7"/>
        <v>873990</v>
      </c>
      <c r="T47" s="181">
        <v>0</v>
      </c>
      <c r="U47" s="73">
        <f t="shared" si="8"/>
        <v>0</v>
      </c>
      <c r="V47" s="181">
        <v>0</v>
      </c>
      <c r="W47" s="73">
        <f t="shared" si="9"/>
        <v>0</v>
      </c>
      <c r="X47" s="181">
        <v>1.2878967706320727E-3</v>
      </c>
      <c r="Y47" s="73">
        <f t="shared" si="10"/>
        <v>450012.67164218222</v>
      </c>
      <c r="Z47" s="73">
        <v>1750000</v>
      </c>
      <c r="AA47" s="73">
        <f t="shared" si="11"/>
        <v>2200012.6716421824</v>
      </c>
      <c r="AB47" s="74">
        <f t="shared" si="12"/>
        <v>15025978.401385477</v>
      </c>
    </row>
    <row r="48" spans="1:28" ht="14">
      <c r="A48" s="37" t="s">
        <v>124</v>
      </c>
      <c r="B48" s="181">
        <v>3.2451967997779205E-2</v>
      </c>
      <c r="C48" s="73">
        <f t="shared" si="14"/>
        <v>3637916.6358018159</v>
      </c>
      <c r="D48" s="181">
        <v>3.2282222807392222E-2</v>
      </c>
      <c r="E48" s="73">
        <f t="shared" si="14"/>
        <v>755976.58950099151</v>
      </c>
      <c r="F48" s="101">
        <v>2.1159061705377399E-2</v>
      </c>
      <c r="G48" s="73">
        <f t="shared" si="1"/>
        <v>108103732.95065658</v>
      </c>
      <c r="H48" s="181">
        <v>2.4723313110470657E-2</v>
      </c>
      <c r="I48" s="73">
        <f t="shared" si="2"/>
        <v>584324.03054627997</v>
      </c>
      <c r="J48" s="181">
        <v>3.8481342521327157E-2</v>
      </c>
      <c r="K48" s="73">
        <f t="shared" si="3"/>
        <v>10485071.440273749</v>
      </c>
      <c r="L48" s="181">
        <v>3.6832709799323467E-2</v>
      </c>
      <c r="M48" s="73">
        <f t="shared" si="4"/>
        <v>24162238.305653062</v>
      </c>
      <c r="N48" s="181">
        <v>3.6767230906331182E-2</v>
      </c>
      <c r="O48" s="73">
        <f t="shared" si="5"/>
        <v>403549.32507742016</v>
      </c>
      <c r="P48" s="181">
        <v>4.82E-2</v>
      </c>
      <c r="Q48" s="73">
        <f t="shared" si="6"/>
        <v>964000</v>
      </c>
      <c r="R48" s="181">
        <v>0</v>
      </c>
      <c r="S48" s="73">
        <f t="shared" si="7"/>
        <v>0</v>
      </c>
      <c r="T48" s="181">
        <v>1.0717561910671814E-2</v>
      </c>
      <c r="U48" s="73">
        <f t="shared" si="8"/>
        <v>26727948.584901694</v>
      </c>
      <c r="V48" s="181">
        <v>4.0460422987932693E-3</v>
      </c>
      <c r="W48" s="73">
        <f t="shared" si="9"/>
        <v>299085.67766900401</v>
      </c>
      <c r="X48" s="181">
        <v>2.7195023636875332E-2</v>
      </c>
      <c r="Y48" s="73">
        <f t="shared" si="10"/>
        <v>9502396.0935909171</v>
      </c>
      <c r="Z48" s="73">
        <v>1750000</v>
      </c>
      <c r="AA48" s="73">
        <f t="shared" si="11"/>
        <v>11252396.093590917</v>
      </c>
      <c r="AB48" s="74">
        <f t="shared" si="12"/>
        <v>187376239.63367149</v>
      </c>
    </row>
    <row r="49" spans="1:28" ht="14">
      <c r="A49" s="37" t="s">
        <v>69</v>
      </c>
      <c r="B49" s="181">
        <v>5.8878505751551744E-3</v>
      </c>
      <c r="C49" s="73">
        <f t="shared" si="14"/>
        <v>660037.30676481954</v>
      </c>
      <c r="D49" s="181">
        <v>7.3589128862422094E-3</v>
      </c>
      <c r="E49" s="73">
        <f t="shared" si="14"/>
        <v>172329.08338958581</v>
      </c>
      <c r="F49" s="101">
        <v>3.6670242753774019E-3</v>
      </c>
      <c r="G49" s="73">
        <f t="shared" si="1"/>
        <v>18735188.663315207</v>
      </c>
      <c r="H49" s="181">
        <v>0</v>
      </c>
      <c r="I49" s="73">
        <f t="shared" si="2"/>
        <v>0</v>
      </c>
      <c r="J49" s="181">
        <v>1.1242656138652208E-2</v>
      </c>
      <c r="K49" s="73">
        <f t="shared" si="3"/>
        <v>3063304.0603214153</v>
      </c>
      <c r="L49" s="181">
        <v>2.3808681391731416E-2</v>
      </c>
      <c r="M49" s="73">
        <f t="shared" si="4"/>
        <v>15618482.502771178</v>
      </c>
      <c r="N49" s="181">
        <v>2.16972449448826E-2</v>
      </c>
      <c r="O49" s="73">
        <f t="shared" si="5"/>
        <v>238144.35674673298</v>
      </c>
      <c r="P49" s="181">
        <v>0</v>
      </c>
      <c r="Q49" s="73">
        <f t="shared" si="6"/>
        <v>0</v>
      </c>
      <c r="R49" s="181">
        <v>0.31196952</v>
      </c>
      <c r="S49" s="73">
        <f t="shared" si="7"/>
        <v>9359085.5999999996</v>
      </c>
      <c r="T49" s="181">
        <v>0</v>
      </c>
      <c r="U49" s="73">
        <f t="shared" si="8"/>
        <v>0</v>
      </c>
      <c r="V49" s="181">
        <v>0</v>
      </c>
      <c r="W49" s="73">
        <f t="shared" si="9"/>
        <v>0</v>
      </c>
      <c r="X49" s="181">
        <v>5.0724698866904038E-3</v>
      </c>
      <c r="Y49" s="73">
        <f t="shared" si="10"/>
        <v>1772405.8151134092</v>
      </c>
      <c r="Z49" s="73">
        <v>1750000</v>
      </c>
      <c r="AA49" s="73">
        <f t="shared" si="11"/>
        <v>3522405.8151134094</v>
      </c>
      <c r="AB49" s="74">
        <f t="shared" si="12"/>
        <v>51368977.388422355</v>
      </c>
    </row>
    <row r="50" spans="1:28" ht="14">
      <c r="A50" s="37" t="s">
        <v>70</v>
      </c>
      <c r="B50" s="181">
        <v>1.0430034615709027E-2</v>
      </c>
      <c r="C50" s="73">
        <f t="shared" si="14"/>
        <v>1169223.279249914</v>
      </c>
      <c r="D50" s="181">
        <v>1.0254456854500563E-2</v>
      </c>
      <c r="E50" s="73">
        <f t="shared" si="14"/>
        <v>240136.16925645096</v>
      </c>
      <c r="F50" s="101">
        <v>1.079303942319375E-2</v>
      </c>
      <c r="G50" s="73">
        <f t="shared" si="1"/>
        <v>55142702.818165198</v>
      </c>
      <c r="H50" s="181">
        <v>3.2379666490978211E-2</v>
      </c>
      <c r="I50" s="73">
        <f t="shared" si="2"/>
        <v>765278.38915487996</v>
      </c>
      <c r="J50" s="181">
        <v>1.279385912845867E-2</v>
      </c>
      <c r="K50" s="73">
        <f t="shared" si="3"/>
        <v>3485962.7593382928</v>
      </c>
      <c r="L50" s="181">
        <v>1.9314675082438278E-2</v>
      </c>
      <c r="M50" s="73">
        <f t="shared" si="4"/>
        <v>12670416.721462749</v>
      </c>
      <c r="N50" s="181">
        <v>1.713266661912094E-2</v>
      </c>
      <c r="O50" s="73">
        <f t="shared" si="5"/>
        <v>188044.51356526164</v>
      </c>
      <c r="P50" s="181">
        <v>0</v>
      </c>
      <c r="Q50" s="73">
        <f t="shared" si="6"/>
        <v>0</v>
      </c>
      <c r="R50" s="181">
        <v>3.0270160000000001E-2</v>
      </c>
      <c r="S50" s="73">
        <f t="shared" si="7"/>
        <v>908104.8</v>
      </c>
      <c r="T50" s="181">
        <v>8.4984352992122439E-3</v>
      </c>
      <c r="U50" s="73">
        <f t="shared" si="8"/>
        <v>21193788.62680348</v>
      </c>
      <c r="V50" s="181">
        <v>1.5550890752874839E-3</v>
      </c>
      <c r="W50" s="73">
        <f t="shared" si="9"/>
        <v>114953.04190387214</v>
      </c>
      <c r="X50" s="181">
        <v>1.296888142561676E-2</v>
      </c>
      <c r="Y50" s="73">
        <f t="shared" si="10"/>
        <v>4531544.0737445178</v>
      </c>
      <c r="Z50" s="73">
        <v>1750000</v>
      </c>
      <c r="AA50" s="73">
        <f t="shared" si="11"/>
        <v>6281544.0737445178</v>
      </c>
      <c r="AB50" s="74">
        <f t="shared" si="12"/>
        <v>102160155.1926446</v>
      </c>
    </row>
    <row r="51" spans="1:28" ht="14">
      <c r="A51" s="37" t="s">
        <v>71</v>
      </c>
      <c r="B51" s="181">
        <v>3.8979420466804568E-2</v>
      </c>
      <c r="C51" s="73">
        <f t="shared" si="14"/>
        <v>4369654.3204962555</v>
      </c>
      <c r="D51" s="181">
        <v>3.8464088493766736E-2</v>
      </c>
      <c r="E51" s="73">
        <f t="shared" si="14"/>
        <v>900741.8916371403</v>
      </c>
      <c r="F51" s="101">
        <v>3.6990618352850224E-2</v>
      </c>
      <c r="G51" s="73">
        <f t="shared" si="1"/>
        <v>188988717.16414103</v>
      </c>
      <c r="H51" s="181">
        <v>6.4499882251354113E-2</v>
      </c>
      <c r="I51" s="73">
        <f t="shared" si="2"/>
        <v>1524424.78071072</v>
      </c>
      <c r="J51" s="181">
        <v>4.6055740334290184E-2</v>
      </c>
      <c r="K51" s="73">
        <f t="shared" si="3"/>
        <v>12548879.43091117</v>
      </c>
      <c r="L51" s="181">
        <v>3.4772701679614118E-2</v>
      </c>
      <c r="M51" s="73">
        <f t="shared" si="4"/>
        <v>22810874.05981873</v>
      </c>
      <c r="N51" s="181">
        <v>3.4646232932174885E-2</v>
      </c>
      <c r="O51" s="73">
        <f t="shared" si="5"/>
        <v>380269.70135101216</v>
      </c>
      <c r="P51" s="181">
        <v>0.2394</v>
      </c>
      <c r="Q51" s="73">
        <f t="shared" si="6"/>
        <v>4788000</v>
      </c>
      <c r="R51" s="181">
        <v>0</v>
      </c>
      <c r="S51" s="73">
        <f t="shared" si="7"/>
        <v>0</v>
      </c>
      <c r="T51" s="181">
        <v>7.1353615507044804E-2</v>
      </c>
      <c r="U51" s="73">
        <f t="shared" si="8"/>
        <v>177944926.51543653</v>
      </c>
      <c r="V51" s="181">
        <v>4.1585074273887308E-3</v>
      </c>
      <c r="W51" s="73">
        <f t="shared" si="9"/>
        <v>307399.16198678716</v>
      </c>
      <c r="X51" s="181">
        <v>3.7109496836069823E-2</v>
      </c>
      <c r="Y51" s="73">
        <f t="shared" si="10"/>
        <v>12966678.848259715</v>
      </c>
      <c r="Z51" s="73">
        <v>1750000</v>
      </c>
      <c r="AA51" s="73">
        <f t="shared" si="11"/>
        <v>14716678.848259715</v>
      </c>
      <c r="AB51" s="74">
        <f t="shared" si="12"/>
        <v>429280565.87474912</v>
      </c>
    </row>
    <row r="52" spans="1:28" ht="14">
      <c r="A52" s="37" t="s">
        <v>72</v>
      </c>
      <c r="B52" s="181">
        <v>1.4794637478182498E-2</v>
      </c>
      <c r="C52" s="73">
        <f t="shared" si="14"/>
        <v>1658502.1224666662</v>
      </c>
      <c r="D52" s="181">
        <v>1.4481429894764116E-2</v>
      </c>
      <c r="E52" s="73">
        <f t="shared" si="14"/>
        <v>339122.31038919074</v>
      </c>
      <c r="F52" s="101">
        <v>9.7085569301083845E-3</v>
      </c>
      <c r="G52" s="73">
        <f t="shared" si="1"/>
        <v>49601974.809778705</v>
      </c>
      <c r="H52" s="181">
        <v>1.3559036928218183E-2</v>
      </c>
      <c r="I52" s="73">
        <f t="shared" si="2"/>
        <v>320461.54464899999</v>
      </c>
      <c r="J52" s="181">
        <v>1.9780960878317249E-2</v>
      </c>
      <c r="K52" s="73">
        <f t="shared" si="3"/>
        <v>5389749.2752875891</v>
      </c>
      <c r="L52" s="181">
        <v>3.1230813131054675E-3</v>
      </c>
      <c r="M52" s="73">
        <f t="shared" si="4"/>
        <v>2048739.7030063814</v>
      </c>
      <c r="N52" s="181">
        <v>8.7718099933269539E-3</v>
      </c>
      <c r="O52" s="73">
        <f t="shared" si="5"/>
        <v>96277.525265165154</v>
      </c>
      <c r="P52" s="181">
        <v>0</v>
      </c>
      <c r="Q52" s="73">
        <f t="shared" si="6"/>
        <v>0</v>
      </c>
      <c r="R52" s="181">
        <v>0</v>
      </c>
      <c r="S52" s="73">
        <f t="shared" si="7"/>
        <v>0</v>
      </c>
      <c r="T52" s="181">
        <v>3.0577604209948506E-3</v>
      </c>
      <c r="U52" s="73">
        <f t="shared" si="8"/>
        <v>7625583.5047632344</v>
      </c>
      <c r="V52" s="181">
        <v>0</v>
      </c>
      <c r="W52" s="73">
        <f t="shared" si="9"/>
        <v>0</v>
      </c>
      <c r="X52" s="181">
        <v>1.2562863940127837E-2</v>
      </c>
      <c r="Y52" s="73">
        <f t="shared" si="10"/>
        <v>4389674.7737006648</v>
      </c>
      <c r="Z52" s="73">
        <v>500000</v>
      </c>
      <c r="AA52" s="73">
        <f t="shared" si="11"/>
        <v>4889674.7737006648</v>
      </c>
      <c r="AB52" s="74">
        <f t="shared" si="12"/>
        <v>71970085.569306597</v>
      </c>
    </row>
    <row r="53" spans="1:28" ht="14">
      <c r="A53" s="37" t="s">
        <v>125</v>
      </c>
      <c r="B53" s="181">
        <v>4.7936502488168005E-3</v>
      </c>
      <c r="C53" s="73">
        <f t="shared" si="14"/>
        <v>537375.7298041078</v>
      </c>
      <c r="D53" s="181">
        <v>4.9997117070213551E-3</v>
      </c>
      <c r="E53" s="73">
        <f t="shared" si="14"/>
        <v>117081.93166601553</v>
      </c>
      <c r="F53" s="101">
        <v>5.6328917126086953E-3</v>
      </c>
      <c r="G53" s="73">
        <f t="shared" si="1"/>
        <v>28778999.273160625</v>
      </c>
      <c r="H53" s="181">
        <v>0</v>
      </c>
      <c r="I53" s="73">
        <f t="shared" si="2"/>
        <v>0</v>
      </c>
      <c r="J53" s="181">
        <v>3.7471662327974663E-3</v>
      </c>
      <c r="K53" s="73">
        <f t="shared" si="3"/>
        <v>1020996.2302559465</v>
      </c>
      <c r="L53" s="181">
        <v>1.2703851277863928E-3</v>
      </c>
      <c r="M53" s="73">
        <f t="shared" si="4"/>
        <v>833371.97737474483</v>
      </c>
      <c r="N53" s="181">
        <v>6.8931256508292602E-3</v>
      </c>
      <c r="O53" s="73">
        <f t="shared" si="5"/>
        <v>75657.484545212224</v>
      </c>
      <c r="P53" s="181">
        <v>0</v>
      </c>
      <c r="Q53" s="73">
        <f t="shared" si="6"/>
        <v>0</v>
      </c>
      <c r="R53" s="181">
        <v>0</v>
      </c>
      <c r="S53" s="73">
        <f t="shared" si="7"/>
        <v>0</v>
      </c>
      <c r="T53" s="181">
        <v>1.771381067032255E-3</v>
      </c>
      <c r="U53" s="73">
        <f t="shared" si="8"/>
        <v>4417551.5363025917</v>
      </c>
      <c r="V53" s="181">
        <v>0</v>
      </c>
      <c r="W53" s="73">
        <f t="shared" si="9"/>
        <v>0</v>
      </c>
      <c r="X53" s="181">
        <v>3.5305794028591148E-3</v>
      </c>
      <c r="Y53" s="73">
        <f t="shared" si="10"/>
        <v>1233643.4920523469</v>
      </c>
      <c r="Z53" s="73">
        <v>1750000</v>
      </c>
      <c r="AA53" s="73">
        <f t="shared" si="11"/>
        <v>2983643.4920523469</v>
      </c>
      <c r="AB53" s="74">
        <f t="shared" si="12"/>
        <v>38764677.655161589</v>
      </c>
    </row>
    <row r="54" spans="1:28" ht="14">
      <c r="A54" s="37" t="s">
        <v>73</v>
      </c>
      <c r="B54" s="181">
        <v>8.9473889509826127E-3</v>
      </c>
      <c r="C54" s="73">
        <f t="shared" si="14"/>
        <v>1003016.3691150103</v>
      </c>
      <c r="D54" s="181">
        <v>1.1054169792386718E-2</v>
      </c>
      <c r="E54" s="73">
        <f t="shared" si="14"/>
        <v>258863.63616509753</v>
      </c>
      <c r="F54" s="101">
        <v>5.0977811617950244E-3</v>
      </c>
      <c r="G54" s="73">
        <f t="shared" si="1"/>
        <v>26045066.696673155</v>
      </c>
      <c r="H54" s="181">
        <v>0</v>
      </c>
      <c r="I54" s="73">
        <f t="shared" si="2"/>
        <v>0</v>
      </c>
      <c r="J54" s="181">
        <v>1.5477248429854608E-2</v>
      </c>
      <c r="K54" s="73">
        <f t="shared" si="3"/>
        <v>4217110.0292551201</v>
      </c>
      <c r="L54" s="181">
        <v>2.0694859436017555E-2</v>
      </c>
      <c r="M54" s="73">
        <f t="shared" si="4"/>
        <v>13575816.933356166</v>
      </c>
      <c r="N54" s="181">
        <v>2.1785521722823543E-2</v>
      </c>
      <c r="O54" s="73">
        <f t="shared" si="5"/>
        <v>239113.26393065535</v>
      </c>
      <c r="P54" s="181">
        <v>0.01</v>
      </c>
      <c r="Q54" s="73">
        <f t="shared" si="6"/>
        <v>200000</v>
      </c>
      <c r="R54" s="181">
        <v>3.9773200000000003E-3</v>
      </c>
      <c r="S54" s="73">
        <f t="shared" si="7"/>
        <v>119319.6</v>
      </c>
      <c r="T54" s="181">
        <v>0</v>
      </c>
      <c r="U54" s="73">
        <f t="shared" si="8"/>
        <v>0</v>
      </c>
      <c r="V54" s="181">
        <v>0</v>
      </c>
      <c r="W54" s="73">
        <f t="shared" si="9"/>
        <v>0</v>
      </c>
      <c r="X54" s="181">
        <v>6.932355101314857E-3</v>
      </c>
      <c r="Y54" s="73">
        <f t="shared" si="10"/>
        <v>2422280.8155532158</v>
      </c>
      <c r="Z54" s="73">
        <v>1750000</v>
      </c>
      <c r="AA54" s="73">
        <f t="shared" si="11"/>
        <v>4172280.8155532158</v>
      </c>
      <c r="AB54" s="74">
        <f t="shared" si="12"/>
        <v>49830587.344048426</v>
      </c>
    </row>
    <row r="55" spans="1:28" ht="14">
      <c r="A55" s="37" t="s">
        <v>74</v>
      </c>
      <c r="B55" s="181">
        <v>4.0000007882070787E-3</v>
      </c>
      <c r="C55" s="73">
        <f t="shared" si="14"/>
        <v>448406.37743864185</v>
      </c>
      <c r="D55" s="181">
        <v>4.9997117070213551E-3</v>
      </c>
      <c r="E55" s="73">
        <f t="shared" si="14"/>
        <v>117081.93166601553</v>
      </c>
      <c r="F55" s="101">
        <v>8.1449228013073989E-4</v>
      </c>
      <c r="G55" s="73">
        <f t="shared" si="1"/>
        <v>4161321.3840785665</v>
      </c>
      <c r="H55" s="181">
        <v>0</v>
      </c>
      <c r="I55" s="73">
        <f t="shared" si="2"/>
        <v>0</v>
      </c>
      <c r="J55" s="181">
        <v>2.5060678999821845E-3</v>
      </c>
      <c r="K55" s="73">
        <f t="shared" si="3"/>
        <v>682832.23099420557</v>
      </c>
      <c r="L55" s="181">
        <v>1.0332246215349243E-2</v>
      </c>
      <c r="M55" s="73">
        <f t="shared" si="4"/>
        <v>6777948.0968988026</v>
      </c>
      <c r="N55" s="181">
        <v>1.0493065844960918E-2</v>
      </c>
      <c r="O55" s="73">
        <f t="shared" si="5"/>
        <v>115169.66427291503</v>
      </c>
      <c r="P55" s="181">
        <v>0</v>
      </c>
      <c r="Q55" s="73">
        <f t="shared" si="6"/>
        <v>0</v>
      </c>
      <c r="R55" s="181">
        <v>9.0322479999999997E-2</v>
      </c>
      <c r="S55" s="73">
        <f t="shared" si="7"/>
        <v>2709674.4</v>
      </c>
      <c r="T55" s="181">
        <v>0</v>
      </c>
      <c r="U55" s="73">
        <f t="shared" si="8"/>
        <v>0</v>
      </c>
      <c r="V55" s="181">
        <v>0</v>
      </c>
      <c r="W55" s="73">
        <f t="shared" si="9"/>
        <v>0</v>
      </c>
      <c r="X55" s="181">
        <v>1.130513386696108E-3</v>
      </c>
      <c r="Y55" s="73">
        <f t="shared" si="10"/>
        <v>395020.28506887669</v>
      </c>
      <c r="Z55" s="73">
        <v>1750000</v>
      </c>
      <c r="AA55" s="73">
        <f t="shared" si="11"/>
        <v>2145020.2850688766</v>
      </c>
      <c r="AB55" s="74">
        <f t="shared" si="12"/>
        <v>17157454.370418023</v>
      </c>
    </row>
    <row r="56" spans="1:28" ht="14">
      <c r="A56" s="37" t="s">
        <v>75</v>
      </c>
      <c r="B56" s="181">
        <v>1.3160299484534151E-2</v>
      </c>
      <c r="C56" s="73">
        <f t="shared" si="14"/>
        <v>1475290.2637583388</v>
      </c>
      <c r="D56" s="181">
        <v>1.4784519439610825E-2</v>
      </c>
      <c r="E56" s="73">
        <f t="shared" si="14"/>
        <v>346219.98150662554</v>
      </c>
      <c r="F56" s="101">
        <v>1.0212255972064222E-2</v>
      </c>
      <c r="G56" s="73">
        <f t="shared" si="1"/>
        <v>52175422.889721543</v>
      </c>
      <c r="H56" s="181">
        <v>1.3918697363551748E-2</v>
      </c>
      <c r="I56" s="73">
        <f t="shared" si="2"/>
        <v>328961.95210907998</v>
      </c>
      <c r="J56" s="181">
        <v>2.0853010788757006E-2</v>
      </c>
      <c r="K56" s="73">
        <f t="shared" si="3"/>
        <v>5681852.3871338088</v>
      </c>
      <c r="L56" s="181">
        <v>2.9848702844074523E-2</v>
      </c>
      <c r="M56" s="73">
        <f t="shared" si="4"/>
        <v>19580733.40686978</v>
      </c>
      <c r="N56" s="181">
        <v>2.8294921315431393E-2</v>
      </c>
      <c r="O56" s="73">
        <f t="shared" si="5"/>
        <v>310559.05268065323</v>
      </c>
      <c r="P56" s="181">
        <v>5.5500000000000001E-2</v>
      </c>
      <c r="Q56" s="73">
        <f t="shared" si="6"/>
        <v>1110000</v>
      </c>
      <c r="R56" s="181">
        <v>0</v>
      </c>
      <c r="S56" s="73">
        <f t="shared" si="7"/>
        <v>0</v>
      </c>
      <c r="T56" s="181">
        <v>1.7721107705689037E-3</v>
      </c>
      <c r="U56" s="73">
        <f t="shared" si="8"/>
        <v>4419371.3045271486</v>
      </c>
      <c r="V56" s="181">
        <v>0</v>
      </c>
      <c r="W56" s="73">
        <f t="shared" si="9"/>
        <v>0</v>
      </c>
      <c r="X56" s="181">
        <v>1.1199918138255164E-2</v>
      </c>
      <c r="Y56" s="73">
        <f t="shared" si="10"/>
        <v>3913438.7153532226</v>
      </c>
      <c r="Z56" s="73">
        <v>1750000</v>
      </c>
      <c r="AA56" s="73">
        <f t="shared" si="11"/>
        <v>5663438.7153532226</v>
      </c>
      <c r="AB56" s="74">
        <f t="shared" si="12"/>
        <v>91091849.953660205</v>
      </c>
    </row>
    <row r="57" spans="1:28" ht="14">
      <c r="A57" s="37" t="s">
        <v>76</v>
      </c>
      <c r="B57" s="181">
        <v>8.464520157969084E-2</v>
      </c>
      <c r="C57" s="73">
        <f t="shared" si="14"/>
        <v>9488860.1821815018</v>
      </c>
      <c r="D57" s="181">
        <v>8.1182167946613287E-2</v>
      </c>
      <c r="E57" s="73">
        <f t="shared" si="14"/>
        <v>1901102.6229124486</v>
      </c>
      <c r="F57" s="101">
        <v>5.9079968153418844E-2</v>
      </c>
      <c r="G57" s="73">
        <f t="shared" si="1"/>
        <v>301845383.73775536</v>
      </c>
      <c r="H57" s="181">
        <v>4.1053682168369347E-2</v>
      </c>
      <c r="I57" s="73">
        <f t="shared" si="2"/>
        <v>970284.72382319986</v>
      </c>
      <c r="J57" s="181">
        <v>7.0103185255398048E-2</v>
      </c>
      <c r="K57" s="73">
        <f t="shared" si="3"/>
        <v>19101124.270449273</v>
      </c>
      <c r="L57" s="181">
        <v>6.6199436086053401E-2</v>
      </c>
      <c r="M57" s="73">
        <f t="shared" si="4"/>
        <v>43426795.343753144</v>
      </c>
      <c r="N57" s="181">
        <v>5.3581177845863845E-2</v>
      </c>
      <c r="O57" s="73">
        <f t="shared" si="5"/>
        <v>588095.63906615088</v>
      </c>
      <c r="P57" s="181">
        <v>0</v>
      </c>
      <c r="Q57" s="73">
        <f t="shared" si="6"/>
        <v>0</v>
      </c>
      <c r="R57" s="181">
        <v>0</v>
      </c>
      <c r="S57" s="73">
        <f t="shared" si="7"/>
        <v>0</v>
      </c>
      <c r="T57" s="181">
        <v>1.1054676648710803E-2</v>
      </c>
      <c r="U57" s="73">
        <f t="shared" si="8"/>
        <v>27568660.81596861</v>
      </c>
      <c r="V57" s="181">
        <v>3.6757548140581596E-2</v>
      </c>
      <c r="W57" s="73">
        <f t="shared" si="9"/>
        <v>2717138.2262503132</v>
      </c>
      <c r="X57" s="181">
        <v>7.683320170728411E-2</v>
      </c>
      <c r="Y57" s="73">
        <f t="shared" si="10"/>
        <v>26846805.706445299</v>
      </c>
      <c r="Z57" s="73">
        <v>1750000</v>
      </c>
      <c r="AA57" s="73">
        <f t="shared" si="11"/>
        <v>28596805.706445299</v>
      </c>
      <c r="AB57" s="74">
        <f t="shared" si="12"/>
        <v>436204251.26860529</v>
      </c>
    </row>
    <row r="58" spans="1:28" ht="14">
      <c r="A58" s="37" t="s">
        <v>77</v>
      </c>
      <c r="B58" s="181">
        <v>9.2155201089031934E-3</v>
      </c>
      <c r="C58" s="73">
        <f t="shared" si="14"/>
        <v>1033074.293492442</v>
      </c>
      <c r="D58" s="181">
        <v>9.6119628884660593E-3</v>
      </c>
      <c r="E58" s="73">
        <f t="shared" si="14"/>
        <v>225090.41481396233</v>
      </c>
      <c r="F58" s="101">
        <v>1.0101590669799406E-2</v>
      </c>
      <c r="G58" s="73">
        <f t="shared" si="1"/>
        <v>51610022.94668442</v>
      </c>
      <c r="H58" s="181">
        <v>2.106359548293766E-2</v>
      </c>
      <c r="I58" s="73">
        <f t="shared" si="2"/>
        <v>497828.30300255993</v>
      </c>
      <c r="J58" s="181">
        <v>6.5972929600770268E-3</v>
      </c>
      <c r="K58" s="73">
        <f t="shared" si="3"/>
        <v>1797574.7067682354</v>
      </c>
      <c r="L58" s="181">
        <v>1.0106569188067519E-2</v>
      </c>
      <c r="M58" s="73">
        <f t="shared" si="4"/>
        <v>6629904.0853937743</v>
      </c>
      <c r="N58" s="181">
        <v>1.010905715031067E-2</v>
      </c>
      <c r="O58" s="73">
        <f t="shared" si="5"/>
        <v>110954.8663202282</v>
      </c>
      <c r="P58" s="181">
        <v>0</v>
      </c>
      <c r="Q58" s="73">
        <f t="shared" si="6"/>
        <v>0</v>
      </c>
      <c r="R58" s="181">
        <v>3.6342000000000002E-3</v>
      </c>
      <c r="S58" s="73">
        <f t="shared" si="7"/>
        <v>109026</v>
      </c>
      <c r="T58" s="181">
        <v>3.2487005688795921E-3</v>
      </c>
      <c r="U58" s="73">
        <f t="shared" si="8"/>
        <v>8101758.8231791928</v>
      </c>
      <c r="V58" s="181">
        <v>3.8061049303757073E-3</v>
      </c>
      <c r="W58" s="73">
        <f t="shared" si="9"/>
        <v>281349.37509681215</v>
      </c>
      <c r="X58" s="181">
        <v>9.3430598603610297E-3</v>
      </c>
      <c r="Y58" s="73">
        <f t="shared" si="10"/>
        <v>3264621.3772322941</v>
      </c>
      <c r="Z58" s="73">
        <v>1750000</v>
      </c>
      <c r="AA58" s="73">
        <f t="shared" si="11"/>
        <v>5014621.3772322945</v>
      </c>
      <c r="AB58" s="74">
        <f t="shared" si="12"/>
        <v>75411205.191983923</v>
      </c>
    </row>
    <row r="59" spans="1:28" ht="14">
      <c r="A59" s="37" t="s">
        <v>126</v>
      </c>
      <c r="B59" s="181">
        <v>4.0000007882070787E-3</v>
      </c>
      <c r="C59" s="73">
        <f t="shared" ref="C59:E66" si="15">B59*C$67</f>
        <v>448406.37743864185</v>
      </c>
      <c r="D59" s="181">
        <v>4.9997117070213551E-3</v>
      </c>
      <c r="E59" s="73">
        <f t="shared" si="15"/>
        <v>117081.93166601553</v>
      </c>
      <c r="F59" s="101">
        <v>5.0471531291345446E-4</v>
      </c>
      <c r="G59" s="73">
        <f t="shared" si="1"/>
        <v>2578640.3084895192</v>
      </c>
      <c r="H59" s="181">
        <v>0</v>
      </c>
      <c r="I59" s="73">
        <f t="shared" si="2"/>
        <v>0</v>
      </c>
      <c r="J59" s="181">
        <v>1.7614259900149726E-3</v>
      </c>
      <c r="K59" s="73">
        <f t="shared" si="3"/>
        <v>479938.48790036829</v>
      </c>
      <c r="L59" s="181">
        <v>5.6046311379420672E-3</v>
      </c>
      <c r="M59" s="73">
        <f t="shared" si="4"/>
        <v>3676635.0862603947</v>
      </c>
      <c r="N59" s="181">
        <v>1.0082677750285627E-2</v>
      </c>
      <c r="O59" s="73">
        <f t="shared" si="5"/>
        <v>110665.3316227914</v>
      </c>
      <c r="P59" s="181">
        <v>0</v>
      </c>
      <c r="Q59" s="73">
        <f t="shared" si="6"/>
        <v>0</v>
      </c>
      <c r="R59" s="181">
        <v>0</v>
      </c>
      <c r="S59" s="73">
        <f t="shared" si="7"/>
        <v>0</v>
      </c>
      <c r="T59" s="181">
        <v>0</v>
      </c>
      <c r="U59" s="73">
        <f t="shared" si="8"/>
        <v>0</v>
      </c>
      <c r="V59" s="181">
        <v>0</v>
      </c>
      <c r="W59" s="73">
        <f t="shared" si="9"/>
        <v>0</v>
      </c>
      <c r="X59" s="181">
        <v>4.4517802925752133E-4</v>
      </c>
      <c r="Y59" s="73">
        <f t="shared" si="10"/>
        <v>155552.64899395482</v>
      </c>
      <c r="Z59" s="73">
        <v>1750000</v>
      </c>
      <c r="AA59" s="73">
        <f t="shared" si="11"/>
        <v>1905552.6489939548</v>
      </c>
      <c r="AB59" s="74">
        <f t="shared" si="12"/>
        <v>9316920.1723716855</v>
      </c>
    </row>
    <row r="60" spans="1:28" ht="14">
      <c r="A60" s="37" t="s">
        <v>127</v>
      </c>
      <c r="B60" s="181">
        <v>0</v>
      </c>
      <c r="C60" s="73">
        <f t="shared" si="15"/>
        <v>0</v>
      </c>
      <c r="D60" s="181">
        <v>0</v>
      </c>
      <c r="E60" s="73">
        <f t="shared" si="15"/>
        <v>0</v>
      </c>
      <c r="F60" s="101">
        <v>2.2324616918800152E-4</v>
      </c>
      <c r="G60" s="73">
        <f t="shared" si="1"/>
        <v>1140586.6948260481</v>
      </c>
      <c r="H60" s="181">
        <v>0</v>
      </c>
      <c r="I60" s="73">
        <f t="shared" si="2"/>
        <v>0</v>
      </c>
      <c r="J60" s="181">
        <v>6.112177898163994E-4</v>
      </c>
      <c r="K60" s="73">
        <f t="shared" si="3"/>
        <v>166539.46489105359</v>
      </c>
      <c r="L60" s="181">
        <v>0</v>
      </c>
      <c r="M60" s="73">
        <f t="shared" si="4"/>
        <v>0</v>
      </c>
      <c r="N60" s="181">
        <v>0</v>
      </c>
      <c r="O60" s="73">
        <f t="shared" si="5"/>
        <v>0</v>
      </c>
      <c r="P60" s="181">
        <v>0</v>
      </c>
      <c r="Q60" s="73">
        <f t="shared" si="6"/>
        <v>0</v>
      </c>
      <c r="R60" s="181">
        <v>0</v>
      </c>
      <c r="S60" s="73">
        <f t="shared" si="7"/>
        <v>0</v>
      </c>
      <c r="T60" s="181">
        <v>0</v>
      </c>
      <c r="U60" s="73">
        <f t="shared" si="8"/>
        <v>0</v>
      </c>
      <c r="V60" s="181">
        <v>0</v>
      </c>
      <c r="W60" s="73">
        <f t="shared" si="9"/>
        <v>0</v>
      </c>
      <c r="X60" s="181">
        <v>3.2233232128070656E-4</v>
      </c>
      <c r="Y60" s="73">
        <f t="shared" si="10"/>
        <v>112628.30404098904</v>
      </c>
      <c r="Z60" s="73">
        <v>500000</v>
      </c>
      <c r="AA60" s="73">
        <f t="shared" si="11"/>
        <v>612628.30404098902</v>
      </c>
      <c r="AB60" s="74">
        <f t="shared" si="12"/>
        <v>1919754.4637580905</v>
      </c>
    </row>
    <row r="61" spans="1:28" ht="14">
      <c r="A61" s="37" t="s">
        <v>78</v>
      </c>
      <c r="B61" s="181">
        <v>2.463070175981024E-2</v>
      </c>
      <c r="C61" s="73">
        <f t="shared" si="15"/>
        <v>2761140.3933844217</v>
      </c>
      <c r="D61" s="181">
        <v>2.3924694469458208E-2</v>
      </c>
      <c r="E61" s="73">
        <f t="shared" si="15"/>
        <v>560262.19253194262</v>
      </c>
      <c r="F61" s="101">
        <v>2.5670506541301832E-2</v>
      </c>
      <c r="G61" s="73">
        <f t="shared" si="1"/>
        <v>131153149.53421178</v>
      </c>
      <c r="H61" s="181">
        <v>1.1496484361858411E-2</v>
      </c>
      <c r="I61" s="73">
        <f t="shared" si="2"/>
        <v>271714.07203464</v>
      </c>
      <c r="J61" s="181">
        <v>2.2886042953027517E-2</v>
      </c>
      <c r="K61" s="73">
        <f t="shared" si="3"/>
        <v>6235795.8331281012</v>
      </c>
      <c r="L61" s="181">
        <v>2.4224416189350242E-2</v>
      </c>
      <c r="M61" s="73">
        <f t="shared" si="4"/>
        <v>15891204.311911678</v>
      </c>
      <c r="N61" s="181">
        <v>2.4631576349096688E-2</v>
      </c>
      <c r="O61" s="73">
        <f t="shared" si="5"/>
        <v>270350.95562661131</v>
      </c>
      <c r="P61" s="181">
        <v>5.7500000000000002E-2</v>
      </c>
      <c r="Q61" s="73">
        <f t="shared" si="6"/>
        <v>1150000</v>
      </c>
      <c r="R61" s="181">
        <v>0</v>
      </c>
      <c r="S61" s="73">
        <f t="shared" si="7"/>
        <v>0</v>
      </c>
      <c r="T61" s="181">
        <v>1.5487923752844303E-4</v>
      </c>
      <c r="U61" s="73">
        <f t="shared" si="8"/>
        <v>386244.96243003436</v>
      </c>
      <c r="V61" s="181">
        <v>2.2905418088720417E-2</v>
      </c>
      <c r="W61" s="73">
        <f t="shared" si="9"/>
        <v>1693181.134908061</v>
      </c>
      <c r="X61" s="181">
        <v>2.5820033804871172E-2</v>
      </c>
      <c r="Y61" s="73">
        <f t="shared" si="10"/>
        <v>9021951.6496799719</v>
      </c>
      <c r="Z61" s="73">
        <v>1750000</v>
      </c>
      <c r="AA61" s="73">
        <f t="shared" si="11"/>
        <v>10771951.649679972</v>
      </c>
      <c r="AB61" s="74">
        <f t="shared" si="12"/>
        <v>171144995.0398472</v>
      </c>
    </row>
    <row r="62" spans="1:28" ht="14">
      <c r="A62" s="37" t="s">
        <v>79</v>
      </c>
      <c r="B62" s="181">
        <v>2.2387623932778173E-2</v>
      </c>
      <c r="C62" s="73">
        <f t="shared" si="15"/>
        <v>2509687.8422504943</v>
      </c>
      <c r="D62" s="181">
        <v>2.1600105906749944E-2</v>
      </c>
      <c r="E62" s="73">
        <f t="shared" si="15"/>
        <v>505825.58994375903</v>
      </c>
      <c r="F62" s="101">
        <v>2.9213725983522388E-2</v>
      </c>
      <c r="G62" s="73">
        <f t="shared" si="1"/>
        <v>149255807.0953474</v>
      </c>
      <c r="H62" s="181">
        <v>2.4586993820999631E-2</v>
      </c>
      <c r="I62" s="73">
        <f t="shared" si="2"/>
        <v>581102.18740943994</v>
      </c>
      <c r="J62" s="181">
        <v>2.2272385993804541E-2</v>
      </c>
      <c r="K62" s="73">
        <f t="shared" si="3"/>
        <v>6068591.7639429346</v>
      </c>
      <c r="L62" s="181">
        <v>2.012247396976494E-2</v>
      </c>
      <c r="M62" s="73">
        <f t="shared" si="4"/>
        <v>13200332.367771961</v>
      </c>
      <c r="N62" s="181">
        <v>1.9011633598047473E-2</v>
      </c>
      <c r="O62" s="73">
        <f t="shared" si="5"/>
        <v>208667.65644268712</v>
      </c>
      <c r="P62" s="181">
        <v>0</v>
      </c>
      <c r="Q62" s="73">
        <f t="shared" si="6"/>
        <v>0</v>
      </c>
      <c r="R62" s="181">
        <v>7.3613239999999996E-2</v>
      </c>
      <c r="S62" s="73">
        <f t="shared" si="7"/>
        <v>2208397.1999999997</v>
      </c>
      <c r="T62" s="181">
        <v>1.9803562459634064E-2</v>
      </c>
      <c r="U62" s="73">
        <f t="shared" si="8"/>
        <v>49387034.442221351</v>
      </c>
      <c r="V62" s="181">
        <v>0.23092995813269934</v>
      </c>
      <c r="W62" s="73">
        <f t="shared" si="9"/>
        <v>17070469.837350085</v>
      </c>
      <c r="X62" s="181">
        <v>3.4930729575828538E-2</v>
      </c>
      <c r="Y62" s="73">
        <f t="shared" si="10"/>
        <v>12205381.127801497</v>
      </c>
      <c r="Z62" s="73">
        <v>1750000</v>
      </c>
      <c r="AA62" s="73">
        <f t="shared" si="11"/>
        <v>13955381.127801497</v>
      </c>
      <c r="AB62" s="74">
        <f t="shared" si="12"/>
        <v>254951297.11048159</v>
      </c>
    </row>
    <row r="63" spans="1:28" ht="14">
      <c r="A63" s="37" t="s">
        <v>80</v>
      </c>
      <c r="B63" s="181">
        <v>4.0000007882070787E-3</v>
      </c>
      <c r="C63" s="73">
        <f t="shared" si="15"/>
        <v>448406.37743864185</v>
      </c>
      <c r="D63" s="181">
        <v>4.9997117070213551E-3</v>
      </c>
      <c r="E63" s="73">
        <f t="shared" si="15"/>
        <v>117081.93166601553</v>
      </c>
      <c r="F63" s="101">
        <v>1.9486250890401258E-3</v>
      </c>
      <c r="G63" s="73">
        <f t="shared" si="1"/>
        <v>9955717.7525035199</v>
      </c>
      <c r="H63" s="181">
        <v>1.0691397620355937E-2</v>
      </c>
      <c r="I63" s="73">
        <f t="shared" si="2"/>
        <v>252686.22056375997</v>
      </c>
      <c r="J63" s="181">
        <v>7.8379601658156682E-3</v>
      </c>
      <c r="K63" s="73">
        <f t="shared" si="3"/>
        <v>2135621.2361627049</v>
      </c>
      <c r="L63" s="181">
        <v>1.2442821810607473E-2</v>
      </c>
      <c r="M63" s="73">
        <f t="shared" si="4"/>
        <v>8162484.5801651403</v>
      </c>
      <c r="N63" s="181">
        <v>1.5601625084096115E-2</v>
      </c>
      <c r="O63" s="73">
        <f t="shared" si="5"/>
        <v>171240.1265365291</v>
      </c>
      <c r="P63" s="181">
        <v>9.4600000000000004E-2</v>
      </c>
      <c r="Q63" s="73">
        <f t="shared" si="6"/>
        <v>1892000</v>
      </c>
      <c r="R63" s="181">
        <v>0</v>
      </c>
      <c r="S63" s="73">
        <f t="shared" si="7"/>
        <v>0</v>
      </c>
      <c r="T63" s="181">
        <v>4.1894171525175039E-4</v>
      </c>
      <c r="U63" s="73">
        <f t="shared" si="8"/>
        <v>1044776.1084701226</v>
      </c>
      <c r="V63" s="181">
        <v>0</v>
      </c>
      <c r="W63" s="73">
        <f t="shared" si="9"/>
        <v>0</v>
      </c>
      <c r="X63" s="181">
        <v>2.288728734819731E-3</v>
      </c>
      <c r="Y63" s="73">
        <f t="shared" si="10"/>
        <v>799720.09877389285</v>
      </c>
      <c r="Z63" s="73">
        <v>1750000</v>
      </c>
      <c r="AA63" s="73">
        <f t="shared" si="11"/>
        <v>2549720.098773893</v>
      </c>
      <c r="AB63" s="74">
        <f t="shared" si="12"/>
        <v>26729734.432280328</v>
      </c>
    </row>
    <row r="64" spans="1:28" ht="14">
      <c r="A64" s="37" t="s">
        <v>128</v>
      </c>
      <c r="B64" s="181">
        <v>1.2934234187714461E-2</v>
      </c>
      <c r="C64" s="73">
        <f t="shared" si="15"/>
        <v>1449947.9885492017</v>
      </c>
      <c r="D64" s="181">
        <v>1.3596298431638185E-2</v>
      </c>
      <c r="E64" s="73">
        <f t="shared" si="15"/>
        <v>318394.53495853674</v>
      </c>
      <c r="F64" s="101">
        <v>1.0126757174401655E-2</v>
      </c>
      <c r="G64" s="73">
        <f t="shared" si="1"/>
        <v>51738601.100607544</v>
      </c>
      <c r="H64" s="181">
        <v>1.266441635921187E-2</v>
      </c>
      <c r="I64" s="73">
        <f t="shared" si="2"/>
        <v>299317.60272035998</v>
      </c>
      <c r="J64" s="181">
        <v>1.7795865384135856E-2</v>
      </c>
      <c r="K64" s="73">
        <f t="shared" si="3"/>
        <v>4848867.2085893713</v>
      </c>
      <c r="L64" s="181">
        <v>2.5124145650849593E-2</v>
      </c>
      <c r="M64" s="73">
        <f t="shared" si="4"/>
        <v>16481426.366650738</v>
      </c>
      <c r="N64" s="181">
        <v>2.5371424307656154E-2</v>
      </c>
      <c r="O64" s="73">
        <f t="shared" si="5"/>
        <v>278471.3698372221</v>
      </c>
      <c r="P64" s="181">
        <v>0</v>
      </c>
      <c r="Q64" s="73">
        <f t="shared" si="6"/>
        <v>0</v>
      </c>
      <c r="R64" s="181">
        <v>6.8908360000000002E-2</v>
      </c>
      <c r="S64" s="73">
        <f t="shared" si="7"/>
        <v>2067250.8</v>
      </c>
      <c r="T64" s="181">
        <v>5.9351682511134686E-4</v>
      </c>
      <c r="U64" s="73">
        <f t="shared" si="8"/>
        <v>1480139.5427494003</v>
      </c>
      <c r="V64" s="181">
        <v>0</v>
      </c>
      <c r="W64" s="73">
        <f t="shared" si="9"/>
        <v>0</v>
      </c>
      <c r="X64" s="181">
        <v>1.3852712230365367E-2</v>
      </c>
      <c r="Y64" s="73">
        <f t="shared" si="10"/>
        <v>4840369.3389320225</v>
      </c>
      <c r="Z64" s="73">
        <v>1750000</v>
      </c>
      <c r="AA64" s="73">
        <f t="shared" si="11"/>
        <v>6590369.3389320225</v>
      </c>
      <c r="AB64" s="74">
        <f t="shared" si="12"/>
        <v>85552785.853594393</v>
      </c>
    </row>
    <row r="65" spans="1:30" ht="14">
      <c r="A65" s="37" t="s">
        <v>133</v>
      </c>
      <c r="B65" s="181">
        <v>4.000010171624678E-3</v>
      </c>
      <c r="C65" s="73">
        <f t="shared" si="15"/>
        <v>448407.42933450796</v>
      </c>
      <c r="D65" s="181">
        <v>4.9997117070213551E-3</v>
      </c>
      <c r="E65" s="73">
        <f t="shared" si="15"/>
        <v>117081.93166601553</v>
      </c>
      <c r="F65" s="101">
        <v>4.2210415610606354E-4</v>
      </c>
      <c r="G65" s="73">
        <f t="shared" si="1"/>
        <v>2156571.7612825623</v>
      </c>
      <c r="H65" s="181">
        <v>0</v>
      </c>
      <c r="I65" s="73">
        <f t="shared" si="2"/>
        <v>0</v>
      </c>
      <c r="J65" s="181">
        <v>1.6345076162909359E-3</v>
      </c>
      <c r="K65" s="73">
        <f t="shared" si="3"/>
        <v>445356.84057758172</v>
      </c>
      <c r="L65" s="181">
        <v>1.0110157472044462E-2</v>
      </c>
      <c r="M65" s="73">
        <f t="shared" si="4"/>
        <v>6632257.9978002096</v>
      </c>
      <c r="N65" s="181">
        <v>9.3819278310489865E-3</v>
      </c>
      <c r="O65" s="73">
        <f t="shared" si="5"/>
        <v>102974.04919588153</v>
      </c>
      <c r="P65" s="181">
        <v>0</v>
      </c>
      <c r="Q65" s="73">
        <f t="shared" si="6"/>
        <v>0</v>
      </c>
      <c r="R65" s="181">
        <v>5.4818000000000002E-3</v>
      </c>
      <c r="S65" s="73">
        <f t="shared" si="7"/>
        <v>164454</v>
      </c>
      <c r="T65" s="181">
        <v>0</v>
      </c>
      <c r="U65" s="73">
        <f t="shared" si="8"/>
        <v>0</v>
      </c>
      <c r="V65" s="181">
        <v>0</v>
      </c>
      <c r="W65" s="73">
        <f t="shared" si="9"/>
        <v>0</v>
      </c>
      <c r="X65" s="181">
        <v>6.1852884349986189E-4</v>
      </c>
      <c r="Y65" s="73">
        <f t="shared" si="10"/>
        <v>216124.32277046225</v>
      </c>
      <c r="Z65" s="73">
        <v>1750000</v>
      </c>
      <c r="AA65" s="73">
        <f t="shared" si="11"/>
        <v>1966124.3227704624</v>
      </c>
      <c r="AB65" s="74">
        <f t="shared" si="12"/>
        <v>12033228.332627222</v>
      </c>
    </row>
    <row r="66" spans="1:30">
      <c r="A66" s="37" t="s">
        <v>106</v>
      </c>
      <c r="B66" s="181">
        <v>0</v>
      </c>
      <c r="C66" s="73">
        <f t="shared" si="15"/>
        <v>0</v>
      </c>
      <c r="D66" s="181">
        <v>0</v>
      </c>
      <c r="E66" s="73">
        <f t="shared" si="15"/>
        <v>0</v>
      </c>
      <c r="F66" s="181">
        <v>0</v>
      </c>
      <c r="G66" s="73">
        <f t="shared" si="1"/>
        <v>0</v>
      </c>
      <c r="H66" s="181">
        <v>0</v>
      </c>
      <c r="I66" s="73">
        <f t="shared" si="2"/>
        <v>0</v>
      </c>
      <c r="J66" s="181">
        <v>0</v>
      </c>
      <c r="K66" s="73">
        <f t="shared" si="3"/>
        <v>0</v>
      </c>
      <c r="L66" s="181">
        <v>0</v>
      </c>
      <c r="M66" s="73">
        <f t="shared" si="4"/>
        <v>0</v>
      </c>
      <c r="N66" s="181">
        <v>0</v>
      </c>
      <c r="O66" s="73">
        <f t="shared" si="5"/>
        <v>0</v>
      </c>
      <c r="P66" s="181">
        <v>0</v>
      </c>
      <c r="Q66" s="73">
        <f t="shared" si="6"/>
        <v>0</v>
      </c>
      <c r="R66" s="181">
        <v>0</v>
      </c>
      <c r="S66" s="73">
        <f t="shared" si="7"/>
        <v>0</v>
      </c>
      <c r="T66" s="181">
        <v>0</v>
      </c>
      <c r="U66" s="73">
        <f t="shared" si="8"/>
        <v>0</v>
      </c>
      <c r="V66" s="181">
        <v>0</v>
      </c>
      <c r="W66" s="73">
        <f t="shared" si="9"/>
        <v>0</v>
      </c>
      <c r="X66" s="181">
        <v>0</v>
      </c>
      <c r="Y66" s="73">
        <f t="shared" si="10"/>
        <v>0</v>
      </c>
      <c r="Z66" s="75">
        <v>0</v>
      </c>
      <c r="AA66" s="73">
        <f t="shared" si="11"/>
        <v>0</v>
      </c>
      <c r="AB66" s="74">
        <f t="shared" si="12"/>
        <v>0</v>
      </c>
      <c r="AD66" s="72" t="s">
        <v>151</v>
      </c>
    </row>
    <row r="67" spans="1:30" ht="12" thickBot="1">
      <c r="A67" s="133" t="s">
        <v>107</v>
      </c>
      <c r="B67" s="133"/>
      <c r="C67" s="126">
        <f>C70-C68</f>
        <v>112101572.26984726</v>
      </c>
      <c r="D67" s="126"/>
      <c r="E67" s="126">
        <f>E70-E68</f>
        <v>23417736.567008711</v>
      </c>
      <c r="F67" s="126"/>
      <c r="G67" s="126">
        <f>G70-G68</f>
        <v>5109098619.5849562</v>
      </c>
      <c r="H67" s="155"/>
      <c r="I67" s="126">
        <f>I70-I68</f>
        <v>23634535.870469999</v>
      </c>
      <c r="J67" s="126"/>
      <c r="K67" s="126">
        <f>K70-K68</f>
        <v>272471560.32726002</v>
      </c>
      <c r="L67" s="126"/>
      <c r="M67" s="126">
        <f>M70-M68</f>
        <v>655999475.39284408</v>
      </c>
      <c r="N67" s="126"/>
      <c r="O67" s="126">
        <f>O70-O68</f>
        <v>10975787.817840001</v>
      </c>
      <c r="P67" s="126"/>
      <c r="Q67" s="126">
        <f>Q70-Q68</f>
        <v>20000000</v>
      </c>
      <c r="R67" s="126"/>
      <c r="S67" s="126">
        <f>S70-S68</f>
        <v>30000000</v>
      </c>
      <c r="T67" s="126"/>
      <c r="U67" s="126">
        <f>U70-U68</f>
        <v>2493845970.5362496</v>
      </c>
      <c r="V67" s="126"/>
      <c r="W67" s="126">
        <f>W70-W68</f>
        <v>73920551.388749987</v>
      </c>
      <c r="X67" s="126"/>
      <c r="Y67" s="126">
        <f>Y70-Y68</f>
        <v>349416724.93000001</v>
      </c>
      <c r="Z67" s="126">
        <f>SUM(Z10:Z66)</f>
        <v>90500000</v>
      </c>
      <c r="AA67" s="126">
        <f t="shared" si="11"/>
        <v>439916724.93000001</v>
      </c>
      <c r="AB67" s="136">
        <f>SUM(C67+E67+G67+I67+K67+M67+O67+Q67+S67+U67+W67+AA67)</f>
        <v>9265382534.6852264</v>
      </c>
    </row>
    <row r="68" spans="1:30" ht="12" thickTop="1">
      <c r="A68" s="41" t="s">
        <v>108</v>
      </c>
      <c r="B68" s="41"/>
      <c r="C68" s="134">
        <f>C70*0.005</f>
        <v>563324.48376807664</v>
      </c>
      <c r="D68" s="134"/>
      <c r="E68" s="134">
        <f>E70*0.005</f>
        <v>117677.06817592318</v>
      </c>
      <c r="F68" s="134">
        <f>G77*0.0075</f>
        <v>35049544.786676474</v>
      </c>
      <c r="G68" s="156">
        <f>'Program Totals'!H11*0.0075</f>
        <v>35451803.805704996</v>
      </c>
      <c r="H68" s="156"/>
      <c r="I68" s="76">
        <v>0</v>
      </c>
      <c r="J68" s="76"/>
      <c r="K68" s="134">
        <f>K70*0.005</f>
        <v>1369203.8207400001</v>
      </c>
      <c r="L68" s="76"/>
      <c r="M68" s="76">
        <f>'Program Totals'!H17*0.005</f>
        <v>3228172.8876</v>
      </c>
      <c r="N68" s="76"/>
      <c r="O68" s="76">
        <v>0</v>
      </c>
      <c r="P68" s="76"/>
      <c r="Q68" s="76">
        <v>0</v>
      </c>
      <c r="R68" s="76"/>
      <c r="S68" s="76">
        <v>0</v>
      </c>
      <c r="T68" s="76"/>
      <c r="U68" s="76">
        <f>(U70+W70)*0.01</f>
        <v>25937035.574999996</v>
      </c>
      <c r="V68" s="76"/>
      <c r="W68" s="76">
        <v>0</v>
      </c>
      <c r="X68" s="76"/>
      <c r="Y68" s="76">
        <f>AA75*0.0075</f>
        <v>5602751.0699999994</v>
      </c>
      <c r="Z68" s="76">
        <v>0</v>
      </c>
      <c r="AA68" s="76">
        <f>Y68</f>
        <v>5602751.0699999994</v>
      </c>
      <c r="AB68" s="74">
        <f t="shared" ref="AB68:AB75" si="16">SUM(C68+E68+G68+I68+K68+M68+O68+Q68+S68+U68+W68+AA68)</f>
        <v>72269968.710988984</v>
      </c>
    </row>
    <row r="69" spans="1:30">
      <c r="A69" s="41"/>
      <c r="B69" s="41"/>
      <c r="C69" s="76">
        <v>0</v>
      </c>
      <c r="D69" s="76"/>
      <c r="E69" s="76">
        <v>0</v>
      </c>
      <c r="F69" s="76"/>
      <c r="G69" s="156">
        <v>0</v>
      </c>
      <c r="H69" s="156"/>
      <c r="I69" s="76">
        <v>0</v>
      </c>
      <c r="J69" s="76"/>
      <c r="K69" s="76">
        <v>0</v>
      </c>
      <c r="L69" s="76"/>
      <c r="M69" s="76">
        <v>0</v>
      </c>
      <c r="N69" s="76"/>
      <c r="O69" s="76">
        <v>0</v>
      </c>
      <c r="P69" s="76"/>
      <c r="Q69" s="76">
        <v>0</v>
      </c>
      <c r="R69" s="76"/>
      <c r="S69" s="76">
        <v>0</v>
      </c>
      <c r="T69" s="76"/>
      <c r="U69" s="76">
        <v>0</v>
      </c>
      <c r="V69" s="76"/>
      <c r="W69" s="76">
        <v>0</v>
      </c>
      <c r="X69" s="76"/>
      <c r="Y69" s="76">
        <v>0</v>
      </c>
      <c r="Z69" s="76">
        <v>0</v>
      </c>
      <c r="AA69" s="76">
        <v>0</v>
      </c>
      <c r="AB69" s="74">
        <f>SUM(C69:Z69)</f>
        <v>0</v>
      </c>
    </row>
    <row r="70" spans="1:30" ht="12" thickBot="1">
      <c r="A70" s="135" t="s">
        <v>107</v>
      </c>
      <c r="B70" s="135"/>
      <c r="C70" s="126">
        <f>'Program Totals'!H9</f>
        <v>112664896.75361533</v>
      </c>
      <c r="D70" s="126"/>
      <c r="E70" s="126">
        <f>'Program Totals'!H10</f>
        <v>23535413.635184634</v>
      </c>
      <c r="F70" s="126"/>
      <c r="G70" s="126">
        <f>G77+G80+H79</f>
        <v>5144550423.3906612</v>
      </c>
      <c r="H70" s="155"/>
      <c r="I70" s="126">
        <f>'Program Totals'!H12</f>
        <v>23634535.870469999</v>
      </c>
      <c r="J70" s="126"/>
      <c r="K70" s="126">
        <f>'Program Totals'!H15</f>
        <v>273840764.148</v>
      </c>
      <c r="L70" s="126"/>
      <c r="M70" s="126">
        <f>M77+I79</f>
        <v>659227648.28044403</v>
      </c>
      <c r="N70" s="126"/>
      <c r="O70" s="126">
        <f>'Program Totals'!H23-O74</f>
        <v>10975787.817840001</v>
      </c>
      <c r="P70" s="126"/>
      <c r="Q70" s="126">
        <f>'Program Totals'!H21</f>
        <v>20000000</v>
      </c>
      <c r="R70" s="126"/>
      <c r="S70" s="126">
        <f>'Program Totals'!H19</f>
        <v>30000000</v>
      </c>
      <c r="T70" s="126"/>
      <c r="U70" s="126">
        <f>'Program Totals'!H37</f>
        <v>2519783006.1112494</v>
      </c>
      <c r="V70" s="126"/>
      <c r="W70" s="126">
        <f>'Program Totals'!H38</f>
        <v>73920551.388749987</v>
      </c>
      <c r="X70" s="126"/>
      <c r="Y70" s="126">
        <f>'Program Totals'!H40-Z67</f>
        <v>355019476</v>
      </c>
      <c r="Z70" s="126">
        <f>Z67</f>
        <v>90500000</v>
      </c>
      <c r="AA70" s="126">
        <f t="shared" ref="AA70" si="17">SUM(Y70+Z70)</f>
        <v>445519476</v>
      </c>
      <c r="AB70" s="136">
        <f t="shared" si="16"/>
        <v>9337652503.3962135</v>
      </c>
      <c r="AC70" s="72">
        <f>AB67+AB68</f>
        <v>9337652503.3962154</v>
      </c>
    </row>
    <row r="71" spans="1:30" ht="12" thickTop="1">
      <c r="A71" s="125" t="s">
        <v>160</v>
      </c>
      <c r="B71" s="125"/>
      <c r="C71" s="75">
        <v>0</v>
      </c>
      <c r="D71" s="75"/>
      <c r="E71" s="75">
        <v>0</v>
      </c>
      <c r="F71" s="75"/>
      <c r="G71" s="132">
        <v>0</v>
      </c>
      <c r="H71" s="132"/>
      <c r="I71" s="75">
        <v>0</v>
      </c>
      <c r="J71" s="75"/>
      <c r="K71" s="75">
        <v>0</v>
      </c>
      <c r="L71" s="75"/>
      <c r="M71" s="75">
        <v>0</v>
      </c>
      <c r="N71" s="75"/>
      <c r="O71" s="75">
        <v>0</v>
      </c>
      <c r="P71" s="75"/>
      <c r="Q71" s="75">
        <v>0</v>
      </c>
      <c r="R71" s="75"/>
      <c r="S71" s="75">
        <v>0</v>
      </c>
      <c r="T71" s="75"/>
      <c r="U71" s="75">
        <v>0</v>
      </c>
      <c r="V71" s="75"/>
      <c r="W71" s="75">
        <v>0</v>
      </c>
      <c r="X71" s="75"/>
      <c r="Y71" s="75">
        <f>'Program Totals'!H43</f>
        <v>301514000</v>
      </c>
      <c r="Z71" s="75">
        <v>0</v>
      </c>
      <c r="AA71" s="75">
        <f>Y71</f>
        <v>301514000</v>
      </c>
      <c r="AB71" s="74">
        <f t="shared" si="16"/>
        <v>301514000</v>
      </c>
    </row>
    <row r="72" spans="1:30">
      <c r="A72" s="123" t="s">
        <v>109</v>
      </c>
      <c r="B72" s="123"/>
      <c r="C72" s="75">
        <v>0</v>
      </c>
      <c r="D72" s="75"/>
      <c r="E72" s="75">
        <v>0</v>
      </c>
      <c r="F72" s="75"/>
      <c r="G72" s="132">
        <f>'Program Totals'!H13</f>
        <v>30000000</v>
      </c>
      <c r="H72" s="132"/>
      <c r="I72" s="75">
        <v>0</v>
      </c>
      <c r="J72" s="75"/>
      <c r="K72" s="75">
        <v>0</v>
      </c>
      <c r="L72" s="75"/>
      <c r="M72" s="75">
        <v>0</v>
      </c>
      <c r="N72" s="75"/>
      <c r="O72" s="75">
        <v>0</v>
      </c>
      <c r="P72" s="75"/>
      <c r="Q72" s="75">
        <v>0</v>
      </c>
      <c r="R72" s="75"/>
      <c r="S72" s="75">
        <v>0</v>
      </c>
      <c r="T72" s="75"/>
      <c r="U72" s="75">
        <v>0</v>
      </c>
      <c r="V72" s="75"/>
      <c r="W72" s="75">
        <v>0</v>
      </c>
      <c r="X72" s="75"/>
      <c r="Y72" s="75">
        <v>0</v>
      </c>
      <c r="Z72" s="75">
        <v>0</v>
      </c>
      <c r="AA72" s="75">
        <v>0</v>
      </c>
      <c r="AB72" s="74">
        <f t="shared" si="16"/>
        <v>30000000</v>
      </c>
    </row>
    <row r="73" spans="1:30">
      <c r="A73" s="72" t="s">
        <v>158</v>
      </c>
      <c r="C73" s="72">
        <v>0</v>
      </c>
      <c r="E73" s="72">
        <v>0</v>
      </c>
      <c r="G73" s="157">
        <v>0</v>
      </c>
      <c r="H73" s="157"/>
      <c r="I73" s="72">
        <v>0</v>
      </c>
      <c r="K73" s="72">
        <v>0</v>
      </c>
      <c r="M73" s="72">
        <v>0</v>
      </c>
      <c r="O73" s="72">
        <v>0</v>
      </c>
      <c r="Q73" s="72">
        <v>0</v>
      </c>
      <c r="S73" s="72">
        <v>5000000</v>
      </c>
      <c r="U73" s="72">
        <v>0</v>
      </c>
      <c r="W73" s="72">
        <v>0</v>
      </c>
      <c r="Y73" s="72">
        <v>0</v>
      </c>
      <c r="Z73" s="72">
        <v>0</v>
      </c>
      <c r="AA73" s="72">
        <v>0</v>
      </c>
      <c r="AB73" s="74">
        <f t="shared" si="16"/>
        <v>5000000</v>
      </c>
    </row>
    <row r="74" spans="1:30">
      <c r="A74" s="72" t="s">
        <v>159</v>
      </c>
      <c r="C74" s="72">
        <v>0</v>
      </c>
      <c r="E74" s="72">
        <v>0</v>
      </c>
      <c r="G74" s="157">
        <v>0</v>
      </c>
      <c r="H74" s="157"/>
      <c r="I74" s="72">
        <v>0</v>
      </c>
      <c r="K74" s="72">
        <v>0</v>
      </c>
      <c r="M74" s="72">
        <v>0</v>
      </c>
      <c r="O74" s="72">
        <f>'Program Totals'!H22</f>
        <v>1936903.7325599999</v>
      </c>
      <c r="Q74" s="72">
        <v>0</v>
      </c>
      <c r="S74" s="72">
        <v>0</v>
      </c>
      <c r="U74" s="72">
        <v>0</v>
      </c>
      <c r="W74" s="72">
        <v>0</v>
      </c>
      <c r="Y74" s="72">
        <v>0</v>
      </c>
      <c r="Z74" s="72">
        <v>0</v>
      </c>
      <c r="AA74" s="72">
        <v>0</v>
      </c>
      <c r="AB74" s="74">
        <f t="shared" si="16"/>
        <v>1936903.7325599999</v>
      </c>
    </row>
    <row r="75" spans="1:30" ht="12" thickBot="1">
      <c r="A75" s="130" t="s">
        <v>110</v>
      </c>
      <c r="B75" s="130"/>
      <c r="C75" s="130">
        <f>C70+C71+C72+C73+C74</f>
        <v>112664896.75361533</v>
      </c>
      <c r="D75" s="130"/>
      <c r="E75" s="130">
        <f t="shared" ref="E75:AA75" si="18">E70+E71+E72+E73+E74</f>
        <v>23535413.635184634</v>
      </c>
      <c r="F75" s="130"/>
      <c r="G75" s="130">
        <f t="shared" si="18"/>
        <v>5174550423.3906612</v>
      </c>
      <c r="H75" s="158"/>
      <c r="I75" s="130">
        <f t="shared" si="18"/>
        <v>23634535.870469999</v>
      </c>
      <c r="J75" s="130"/>
      <c r="K75" s="130">
        <f t="shared" si="18"/>
        <v>273840764.148</v>
      </c>
      <c r="L75" s="130"/>
      <c r="M75" s="130">
        <f t="shared" si="18"/>
        <v>659227648.28044403</v>
      </c>
      <c r="N75" s="130"/>
      <c r="O75" s="130">
        <f t="shared" si="18"/>
        <v>12912691.5504</v>
      </c>
      <c r="P75" s="130"/>
      <c r="Q75" s="130">
        <f t="shared" si="18"/>
        <v>20000000</v>
      </c>
      <c r="R75" s="130"/>
      <c r="S75" s="130">
        <f t="shared" si="18"/>
        <v>35000000</v>
      </c>
      <c r="T75" s="130"/>
      <c r="U75" s="130">
        <f t="shared" si="18"/>
        <v>2519783006.1112494</v>
      </c>
      <c r="V75" s="130"/>
      <c r="W75" s="130">
        <f t="shared" si="18"/>
        <v>73920551.388749987</v>
      </c>
      <c r="X75" s="130"/>
      <c r="Y75" s="130">
        <f t="shared" si="18"/>
        <v>656533476</v>
      </c>
      <c r="Z75" s="130">
        <f t="shared" si="18"/>
        <v>90500000</v>
      </c>
      <c r="AA75" s="130">
        <f t="shared" si="18"/>
        <v>747033476</v>
      </c>
      <c r="AB75" s="136">
        <f t="shared" si="16"/>
        <v>9676103407.1287746</v>
      </c>
      <c r="AC75" s="72">
        <f>'Program Totals'!H61</f>
        <v>9676103407.1287727</v>
      </c>
      <c r="AD75" s="72">
        <f>AC70+AB71+AB72+AB73+AB74</f>
        <v>9676103407.1287746</v>
      </c>
    </row>
    <row r="76" spans="1:30" ht="12" hidden="1" thickTop="1">
      <c r="AC76" s="72">
        <f>AB70+AB71+AB72+AB73+AB74</f>
        <v>9676103407.1287727</v>
      </c>
    </row>
    <row r="77" spans="1:30" hidden="1">
      <c r="G77" s="72">
        <f>'Program Totals'!H14</f>
        <v>4673272638.2235298</v>
      </c>
      <c r="M77" s="72">
        <f>'Program Totals'!H18</f>
        <v>577721885.96959996</v>
      </c>
      <c r="Y77" s="100"/>
    </row>
    <row r="78" spans="1:30" hidden="1">
      <c r="A78" s="72" t="s">
        <v>111</v>
      </c>
    </row>
    <row r="79" spans="1:30" hidden="1">
      <c r="G79" s="157">
        <f>'Program Totals'!H46</f>
        <v>286132747.30156249</v>
      </c>
      <c r="H79" s="157">
        <f>G79*0.715147032</f>
        <v>204626984.99071842</v>
      </c>
      <c r="I79" s="72">
        <f>G79-H79</f>
        <v>81505762.310844064</v>
      </c>
    </row>
    <row r="80" spans="1:30" hidden="1">
      <c r="G80" s="72">
        <f>'Program Totals'!H47</f>
        <v>266650800.17641246</v>
      </c>
      <c r="I80" s="72">
        <f t="shared" ref="I80:AB80" si="19">SUM(I10:I66)-I67</f>
        <v>0</v>
      </c>
      <c r="K80" s="72">
        <f t="shared" si="19"/>
        <v>0</v>
      </c>
      <c r="M80" s="72">
        <f t="shared" si="19"/>
        <v>0</v>
      </c>
      <c r="O80" s="72">
        <f t="shared" si="19"/>
        <v>0</v>
      </c>
      <c r="Q80" s="72">
        <f t="shared" si="19"/>
        <v>0</v>
      </c>
      <c r="S80" s="72">
        <f t="shared" si="19"/>
        <v>0</v>
      </c>
      <c r="U80" s="72">
        <f t="shared" si="19"/>
        <v>0</v>
      </c>
      <c r="W80" s="72">
        <f t="shared" si="19"/>
        <v>0</v>
      </c>
      <c r="Y80" s="72">
        <f t="shared" si="19"/>
        <v>0</v>
      </c>
      <c r="Z80" s="72">
        <f t="shared" si="19"/>
        <v>0</v>
      </c>
      <c r="AA80" s="72">
        <f t="shared" si="19"/>
        <v>0</v>
      </c>
      <c r="AB80" s="72">
        <f t="shared" si="19"/>
        <v>0</v>
      </c>
    </row>
    <row r="81" spans="25:27" ht="12" thickTop="1"/>
    <row r="88" spans="25:27">
      <c r="Y88" s="43"/>
      <c r="Z88" s="43"/>
      <c r="AA88" s="43"/>
    </row>
    <row r="94" spans="25:27">
      <c r="Y94" s="43"/>
      <c r="Z94" s="43"/>
      <c r="AA94" s="43"/>
    </row>
  </sheetData>
  <mergeCells count="8">
    <mergeCell ref="U7:W7"/>
    <mergeCell ref="A1:AB1"/>
    <mergeCell ref="A2:AB2"/>
    <mergeCell ref="A3:AB3"/>
    <mergeCell ref="A4:AB4"/>
    <mergeCell ref="C5:AB5"/>
    <mergeCell ref="U6:W6"/>
    <mergeCell ref="Y6:Z6"/>
  </mergeCells>
  <pageMargins left="0.7" right="0.7" top="0.75" bottom="0.75" header="0.3" footer="0.3"/>
  <pageSetup orientation="portrait" horizontalDpi="4294967295" verticalDpi="429496729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I94"/>
  <sheetViews>
    <sheetView workbookViewId="0">
      <pane ySplit="9" topLeftCell="A10" activePane="bottomLeft" state="frozen"/>
      <selection activeCell="F76" sqref="F76"/>
      <selection pane="bottomLeft" sqref="A1:AB1"/>
    </sheetView>
  </sheetViews>
  <sheetFormatPr baseColWidth="10" defaultColWidth="9.1640625" defaultRowHeight="11" x14ac:dyDescent="0"/>
  <cols>
    <col min="1" max="1" width="30.1640625" style="72" customWidth="1"/>
    <col min="2" max="2" width="30.1640625" style="72" hidden="1" customWidth="1"/>
    <col min="3" max="3" width="20.1640625" style="72" customWidth="1"/>
    <col min="4" max="4" width="20.1640625" style="72" hidden="1" customWidth="1"/>
    <col min="5" max="5" width="20.1640625" style="72" customWidth="1"/>
    <col min="6" max="6" width="20.1640625" style="72" hidden="1" customWidth="1"/>
    <col min="7" max="7" width="17.1640625" style="72" customWidth="1"/>
    <col min="8" max="8" width="17.1640625" style="72" hidden="1" customWidth="1"/>
    <col min="9" max="9" width="17.1640625" style="72" customWidth="1"/>
    <col min="10" max="10" width="17.1640625" style="72" hidden="1" customWidth="1"/>
    <col min="11" max="11" width="20.6640625" style="72" customWidth="1"/>
    <col min="12" max="12" width="20.6640625" style="72" hidden="1" customWidth="1"/>
    <col min="13" max="13" width="20" style="72" customWidth="1"/>
    <col min="14" max="14" width="20" style="72" hidden="1" customWidth="1"/>
    <col min="15" max="15" width="17.5" style="72" customWidth="1"/>
    <col min="16" max="16" width="17.5" style="72" hidden="1" customWidth="1"/>
    <col min="17" max="17" width="19.83203125" style="72" customWidth="1"/>
    <col min="18" max="18" width="19.83203125" style="72" hidden="1" customWidth="1"/>
    <col min="19" max="19" width="17.1640625" style="72" customWidth="1"/>
    <col min="20" max="20" width="17.1640625" style="72" hidden="1" customWidth="1"/>
    <col min="21" max="21" width="17.1640625" style="72" customWidth="1"/>
    <col min="22" max="22" width="17.1640625" style="72" hidden="1" customWidth="1"/>
    <col min="23" max="23" width="15.83203125" style="72" customWidth="1"/>
    <col min="24" max="24" width="15.83203125" style="72" hidden="1" customWidth="1"/>
    <col min="25" max="25" width="15.5" style="72" customWidth="1"/>
    <col min="26" max="26" width="16.6640625" style="72" customWidth="1"/>
    <col min="27" max="27" width="15.5" style="72" customWidth="1"/>
    <col min="28" max="28" width="16" style="72" customWidth="1"/>
    <col min="29" max="29" width="12" style="72" hidden="1" customWidth="1"/>
    <col min="30" max="30" width="17.33203125" style="72" hidden="1" customWidth="1"/>
    <col min="31" max="31" width="16.5" style="72" bestFit="1" customWidth="1"/>
    <col min="32" max="32" width="10.83203125" style="72" bestFit="1" customWidth="1"/>
    <col min="33" max="269" width="9.1640625" style="72"/>
    <col min="270" max="270" width="29.33203125" style="72" customWidth="1"/>
    <col min="271" max="272" width="20.1640625" style="72" customWidth="1"/>
    <col min="273" max="274" width="17.1640625" style="72" customWidth="1"/>
    <col min="275" max="275" width="21.5" style="72" customWidth="1"/>
    <col min="276" max="276" width="18.33203125" style="72" customWidth="1"/>
    <col min="277" max="277" width="28.5" style="72" customWidth="1"/>
    <col min="278" max="278" width="21" style="72" customWidth="1"/>
    <col min="279" max="279" width="17.5" style="72" customWidth="1"/>
    <col min="280" max="280" width="22.6640625" style="72" customWidth="1"/>
    <col min="281" max="281" width="17.1640625" style="72" customWidth="1"/>
    <col min="282" max="282" width="15.83203125" style="72" customWidth="1"/>
    <col min="283" max="283" width="15.5" style="72" customWidth="1"/>
    <col min="284" max="284" width="16" style="72" customWidth="1"/>
    <col min="285" max="285" width="9.1640625" style="72" customWidth="1"/>
    <col min="286" max="286" width="17.33203125" style="72" customWidth="1"/>
    <col min="287" max="287" width="16.5" style="72" bestFit="1" customWidth="1"/>
    <col min="288" max="288" width="10.83203125" style="72" bestFit="1" customWidth="1"/>
    <col min="289" max="525" width="9.1640625" style="72"/>
    <col min="526" max="526" width="29.33203125" style="72" customWidth="1"/>
    <col min="527" max="528" width="20.1640625" style="72" customWidth="1"/>
    <col min="529" max="530" width="17.1640625" style="72" customWidth="1"/>
    <col min="531" max="531" width="21.5" style="72" customWidth="1"/>
    <col min="532" max="532" width="18.33203125" style="72" customWidth="1"/>
    <col min="533" max="533" width="28.5" style="72" customWidth="1"/>
    <col min="534" max="534" width="21" style="72" customWidth="1"/>
    <col min="535" max="535" width="17.5" style="72" customWidth="1"/>
    <col min="536" max="536" width="22.6640625" style="72" customWidth="1"/>
    <col min="537" max="537" width="17.1640625" style="72" customWidth="1"/>
    <col min="538" max="538" width="15.83203125" style="72" customWidth="1"/>
    <col min="539" max="539" width="15.5" style="72" customWidth="1"/>
    <col min="540" max="540" width="16" style="72" customWidth="1"/>
    <col min="541" max="541" width="9.1640625" style="72" customWidth="1"/>
    <col min="542" max="542" width="17.33203125" style="72" customWidth="1"/>
    <col min="543" max="543" width="16.5" style="72" bestFit="1" customWidth="1"/>
    <col min="544" max="544" width="10.83203125" style="72" bestFit="1" customWidth="1"/>
    <col min="545" max="781" width="9.1640625" style="72"/>
    <col min="782" max="782" width="29.33203125" style="72" customWidth="1"/>
    <col min="783" max="784" width="20.1640625" style="72" customWidth="1"/>
    <col min="785" max="786" width="17.1640625" style="72" customWidth="1"/>
    <col min="787" max="787" width="21.5" style="72" customWidth="1"/>
    <col min="788" max="788" width="18.33203125" style="72" customWidth="1"/>
    <col min="789" max="789" width="28.5" style="72" customWidth="1"/>
    <col min="790" max="790" width="21" style="72" customWidth="1"/>
    <col min="791" max="791" width="17.5" style="72" customWidth="1"/>
    <col min="792" max="792" width="22.6640625" style="72" customWidth="1"/>
    <col min="793" max="793" width="17.1640625" style="72" customWidth="1"/>
    <col min="794" max="794" width="15.83203125" style="72" customWidth="1"/>
    <col min="795" max="795" width="15.5" style="72" customWidth="1"/>
    <col min="796" max="796" width="16" style="72" customWidth="1"/>
    <col min="797" max="797" width="9.1640625" style="72" customWidth="1"/>
    <col min="798" max="798" width="17.33203125" style="72" customWidth="1"/>
    <col min="799" max="799" width="16.5" style="72" bestFit="1" customWidth="1"/>
    <col min="800" max="800" width="10.83203125" style="72" bestFit="1" customWidth="1"/>
    <col min="801" max="1037" width="9.1640625" style="72"/>
    <col min="1038" max="1038" width="29.33203125" style="72" customWidth="1"/>
    <col min="1039" max="1040" width="20.1640625" style="72" customWidth="1"/>
    <col min="1041" max="1042" width="17.1640625" style="72" customWidth="1"/>
    <col min="1043" max="1043" width="21.5" style="72" customWidth="1"/>
    <col min="1044" max="1044" width="18.33203125" style="72" customWidth="1"/>
    <col min="1045" max="1045" width="28.5" style="72" customWidth="1"/>
    <col min="1046" max="1046" width="21" style="72" customWidth="1"/>
    <col min="1047" max="1047" width="17.5" style="72" customWidth="1"/>
    <col min="1048" max="1048" width="22.6640625" style="72" customWidth="1"/>
    <col min="1049" max="1049" width="17.1640625" style="72" customWidth="1"/>
    <col min="1050" max="1050" width="15.83203125" style="72" customWidth="1"/>
    <col min="1051" max="1051" width="15.5" style="72" customWidth="1"/>
    <col min="1052" max="1052" width="16" style="72" customWidth="1"/>
    <col min="1053" max="1053" width="9.1640625" style="72" customWidth="1"/>
    <col min="1054" max="1054" width="17.33203125" style="72" customWidth="1"/>
    <col min="1055" max="1055" width="16.5" style="72" bestFit="1" customWidth="1"/>
    <col min="1056" max="1056" width="10.83203125" style="72" bestFit="1" customWidth="1"/>
    <col min="1057" max="1293" width="9.1640625" style="72"/>
    <col min="1294" max="1294" width="29.33203125" style="72" customWidth="1"/>
    <col min="1295" max="1296" width="20.1640625" style="72" customWidth="1"/>
    <col min="1297" max="1298" width="17.1640625" style="72" customWidth="1"/>
    <col min="1299" max="1299" width="21.5" style="72" customWidth="1"/>
    <col min="1300" max="1300" width="18.33203125" style="72" customWidth="1"/>
    <col min="1301" max="1301" width="28.5" style="72" customWidth="1"/>
    <col min="1302" max="1302" width="21" style="72" customWidth="1"/>
    <col min="1303" max="1303" width="17.5" style="72" customWidth="1"/>
    <col min="1304" max="1304" width="22.6640625" style="72" customWidth="1"/>
    <col min="1305" max="1305" width="17.1640625" style="72" customWidth="1"/>
    <col min="1306" max="1306" width="15.83203125" style="72" customWidth="1"/>
    <col min="1307" max="1307" width="15.5" style="72" customWidth="1"/>
    <col min="1308" max="1308" width="16" style="72" customWidth="1"/>
    <col min="1309" max="1309" width="9.1640625" style="72" customWidth="1"/>
    <col min="1310" max="1310" width="17.33203125" style="72" customWidth="1"/>
    <col min="1311" max="1311" width="16.5" style="72" bestFit="1" customWidth="1"/>
    <col min="1312" max="1312" width="10.83203125" style="72" bestFit="1" customWidth="1"/>
    <col min="1313" max="1549" width="9.1640625" style="72"/>
    <col min="1550" max="1550" width="29.33203125" style="72" customWidth="1"/>
    <col min="1551" max="1552" width="20.1640625" style="72" customWidth="1"/>
    <col min="1553" max="1554" width="17.1640625" style="72" customWidth="1"/>
    <col min="1555" max="1555" width="21.5" style="72" customWidth="1"/>
    <col min="1556" max="1556" width="18.33203125" style="72" customWidth="1"/>
    <col min="1557" max="1557" width="28.5" style="72" customWidth="1"/>
    <col min="1558" max="1558" width="21" style="72" customWidth="1"/>
    <col min="1559" max="1559" width="17.5" style="72" customWidth="1"/>
    <col min="1560" max="1560" width="22.6640625" style="72" customWidth="1"/>
    <col min="1561" max="1561" width="17.1640625" style="72" customWidth="1"/>
    <col min="1562" max="1562" width="15.83203125" style="72" customWidth="1"/>
    <col min="1563" max="1563" width="15.5" style="72" customWidth="1"/>
    <col min="1564" max="1564" width="16" style="72" customWidth="1"/>
    <col min="1565" max="1565" width="9.1640625" style="72" customWidth="1"/>
    <col min="1566" max="1566" width="17.33203125" style="72" customWidth="1"/>
    <col min="1567" max="1567" width="16.5" style="72" bestFit="1" customWidth="1"/>
    <col min="1568" max="1568" width="10.83203125" style="72" bestFit="1" customWidth="1"/>
    <col min="1569" max="1805" width="9.1640625" style="72"/>
    <col min="1806" max="1806" width="29.33203125" style="72" customWidth="1"/>
    <col min="1807" max="1808" width="20.1640625" style="72" customWidth="1"/>
    <col min="1809" max="1810" width="17.1640625" style="72" customWidth="1"/>
    <col min="1811" max="1811" width="21.5" style="72" customWidth="1"/>
    <col min="1812" max="1812" width="18.33203125" style="72" customWidth="1"/>
    <col min="1813" max="1813" width="28.5" style="72" customWidth="1"/>
    <col min="1814" max="1814" width="21" style="72" customWidth="1"/>
    <col min="1815" max="1815" width="17.5" style="72" customWidth="1"/>
    <col min="1816" max="1816" width="22.6640625" style="72" customWidth="1"/>
    <col min="1817" max="1817" width="17.1640625" style="72" customWidth="1"/>
    <col min="1818" max="1818" width="15.83203125" style="72" customWidth="1"/>
    <col min="1819" max="1819" width="15.5" style="72" customWidth="1"/>
    <col min="1820" max="1820" width="16" style="72" customWidth="1"/>
    <col min="1821" max="1821" width="9.1640625" style="72" customWidth="1"/>
    <col min="1822" max="1822" width="17.33203125" style="72" customWidth="1"/>
    <col min="1823" max="1823" width="16.5" style="72" bestFit="1" customWidth="1"/>
    <col min="1824" max="1824" width="10.83203125" style="72" bestFit="1" customWidth="1"/>
    <col min="1825" max="2061" width="9.1640625" style="72"/>
    <col min="2062" max="2062" width="29.33203125" style="72" customWidth="1"/>
    <col min="2063" max="2064" width="20.1640625" style="72" customWidth="1"/>
    <col min="2065" max="2066" width="17.1640625" style="72" customWidth="1"/>
    <col min="2067" max="2067" width="21.5" style="72" customWidth="1"/>
    <col min="2068" max="2068" width="18.33203125" style="72" customWidth="1"/>
    <col min="2069" max="2069" width="28.5" style="72" customWidth="1"/>
    <col min="2070" max="2070" width="21" style="72" customWidth="1"/>
    <col min="2071" max="2071" width="17.5" style="72" customWidth="1"/>
    <col min="2072" max="2072" width="22.6640625" style="72" customWidth="1"/>
    <col min="2073" max="2073" width="17.1640625" style="72" customWidth="1"/>
    <col min="2074" max="2074" width="15.83203125" style="72" customWidth="1"/>
    <col min="2075" max="2075" width="15.5" style="72" customWidth="1"/>
    <col min="2076" max="2076" width="16" style="72" customWidth="1"/>
    <col min="2077" max="2077" width="9.1640625" style="72" customWidth="1"/>
    <col min="2078" max="2078" width="17.33203125" style="72" customWidth="1"/>
    <col min="2079" max="2079" width="16.5" style="72" bestFit="1" customWidth="1"/>
    <col min="2080" max="2080" width="10.83203125" style="72" bestFit="1" customWidth="1"/>
    <col min="2081" max="2317" width="9.1640625" style="72"/>
    <col min="2318" max="2318" width="29.33203125" style="72" customWidth="1"/>
    <col min="2319" max="2320" width="20.1640625" style="72" customWidth="1"/>
    <col min="2321" max="2322" width="17.1640625" style="72" customWidth="1"/>
    <col min="2323" max="2323" width="21.5" style="72" customWidth="1"/>
    <col min="2324" max="2324" width="18.33203125" style="72" customWidth="1"/>
    <col min="2325" max="2325" width="28.5" style="72" customWidth="1"/>
    <col min="2326" max="2326" width="21" style="72" customWidth="1"/>
    <col min="2327" max="2327" width="17.5" style="72" customWidth="1"/>
    <col min="2328" max="2328" width="22.6640625" style="72" customWidth="1"/>
    <col min="2329" max="2329" width="17.1640625" style="72" customWidth="1"/>
    <col min="2330" max="2330" width="15.83203125" style="72" customWidth="1"/>
    <col min="2331" max="2331" width="15.5" style="72" customWidth="1"/>
    <col min="2332" max="2332" width="16" style="72" customWidth="1"/>
    <col min="2333" max="2333" width="9.1640625" style="72" customWidth="1"/>
    <col min="2334" max="2334" width="17.33203125" style="72" customWidth="1"/>
    <col min="2335" max="2335" width="16.5" style="72" bestFit="1" customWidth="1"/>
    <col min="2336" max="2336" width="10.83203125" style="72" bestFit="1" customWidth="1"/>
    <col min="2337" max="2573" width="9.1640625" style="72"/>
    <col min="2574" max="2574" width="29.33203125" style="72" customWidth="1"/>
    <col min="2575" max="2576" width="20.1640625" style="72" customWidth="1"/>
    <col min="2577" max="2578" width="17.1640625" style="72" customWidth="1"/>
    <col min="2579" max="2579" width="21.5" style="72" customWidth="1"/>
    <col min="2580" max="2580" width="18.33203125" style="72" customWidth="1"/>
    <col min="2581" max="2581" width="28.5" style="72" customWidth="1"/>
    <col min="2582" max="2582" width="21" style="72" customWidth="1"/>
    <col min="2583" max="2583" width="17.5" style="72" customWidth="1"/>
    <col min="2584" max="2584" width="22.6640625" style="72" customWidth="1"/>
    <col min="2585" max="2585" width="17.1640625" style="72" customWidth="1"/>
    <col min="2586" max="2586" width="15.83203125" style="72" customWidth="1"/>
    <col min="2587" max="2587" width="15.5" style="72" customWidth="1"/>
    <col min="2588" max="2588" width="16" style="72" customWidth="1"/>
    <col min="2589" max="2589" width="9.1640625" style="72" customWidth="1"/>
    <col min="2590" max="2590" width="17.33203125" style="72" customWidth="1"/>
    <col min="2591" max="2591" width="16.5" style="72" bestFit="1" customWidth="1"/>
    <col min="2592" max="2592" width="10.83203125" style="72" bestFit="1" customWidth="1"/>
    <col min="2593" max="2829" width="9.1640625" style="72"/>
    <col min="2830" max="2830" width="29.33203125" style="72" customWidth="1"/>
    <col min="2831" max="2832" width="20.1640625" style="72" customWidth="1"/>
    <col min="2833" max="2834" width="17.1640625" style="72" customWidth="1"/>
    <col min="2835" max="2835" width="21.5" style="72" customWidth="1"/>
    <col min="2836" max="2836" width="18.33203125" style="72" customWidth="1"/>
    <col min="2837" max="2837" width="28.5" style="72" customWidth="1"/>
    <col min="2838" max="2838" width="21" style="72" customWidth="1"/>
    <col min="2839" max="2839" width="17.5" style="72" customWidth="1"/>
    <col min="2840" max="2840" width="22.6640625" style="72" customWidth="1"/>
    <col min="2841" max="2841" width="17.1640625" style="72" customWidth="1"/>
    <col min="2842" max="2842" width="15.83203125" style="72" customWidth="1"/>
    <col min="2843" max="2843" width="15.5" style="72" customWidth="1"/>
    <col min="2844" max="2844" width="16" style="72" customWidth="1"/>
    <col min="2845" max="2845" width="9.1640625" style="72" customWidth="1"/>
    <col min="2846" max="2846" width="17.33203125" style="72" customWidth="1"/>
    <col min="2847" max="2847" width="16.5" style="72" bestFit="1" customWidth="1"/>
    <col min="2848" max="2848" width="10.83203125" style="72" bestFit="1" customWidth="1"/>
    <col min="2849" max="3085" width="9.1640625" style="72"/>
    <col min="3086" max="3086" width="29.33203125" style="72" customWidth="1"/>
    <col min="3087" max="3088" width="20.1640625" style="72" customWidth="1"/>
    <col min="3089" max="3090" width="17.1640625" style="72" customWidth="1"/>
    <col min="3091" max="3091" width="21.5" style="72" customWidth="1"/>
    <col min="3092" max="3092" width="18.33203125" style="72" customWidth="1"/>
    <col min="3093" max="3093" width="28.5" style="72" customWidth="1"/>
    <col min="3094" max="3094" width="21" style="72" customWidth="1"/>
    <col min="3095" max="3095" width="17.5" style="72" customWidth="1"/>
    <col min="3096" max="3096" width="22.6640625" style="72" customWidth="1"/>
    <col min="3097" max="3097" width="17.1640625" style="72" customWidth="1"/>
    <col min="3098" max="3098" width="15.83203125" style="72" customWidth="1"/>
    <col min="3099" max="3099" width="15.5" style="72" customWidth="1"/>
    <col min="3100" max="3100" width="16" style="72" customWidth="1"/>
    <col min="3101" max="3101" width="9.1640625" style="72" customWidth="1"/>
    <col min="3102" max="3102" width="17.33203125" style="72" customWidth="1"/>
    <col min="3103" max="3103" width="16.5" style="72" bestFit="1" customWidth="1"/>
    <col min="3104" max="3104" width="10.83203125" style="72" bestFit="1" customWidth="1"/>
    <col min="3105" max="3341" width="9.1640625" style="72"/>
    <col min="3342" max="3342" width="29.33203125" style="72" customWidth="1"/>
    <col min="3343" max="3344" width="20.1640625" style="72" customWidth="1"/>
    <col min="3345" max="3346" width="17.1640625" style="72" customWidth="1"/>
    <col min="3347" max="3347" width="21.5" style="72" customWidth="1"/>
    <col min="3348" max="3348" width="18.33203125" style="72" customWidth="1"/>
    <col min="3349" max="3349" width="28.5" style="72" customWidth="1"/>
    <col min="3350" max="3350" width="21" style="72" customWidth="1"/>
    <col min="3351" max="3351" width="17.5" style="72" customWidth="1"/>
    <col min="3352" max="3352" width="22.6640625" style="72" customWidth="1"/>
    <col min="3353" max="3353" width="17.1640625" style="72" customWidth="1"/>
    <col min="3354" max="3354" width="15.83203125" style="72" customWidth="1"/>
    <col min="3355" max="3355" width="15.5" style="72" customWidth="1"/>
    <col min="3356" max="3356" width="16" style="72" customWidth="1"/>
    <col min="3357" max="3357" width="9.1640625" style="72" customWidth="1"/>
    <col min="3358" max="3358" width="17.33203125" style="72" customWidth="1"/>
    <col min="3359" max="3359" width="16.5" style="72" bestFit="1" customWidth="1"/>
    <col min="3360" max="3360" width="10.83203125" style="72" bestFit="1" customWidth="1"/>
    <col min="3361" max="3597" width="9.1640625" style="72"/>
    <col min="3598" max="3598" width="29.33203125" style="72" customWidth="1"/>
    <col min="3599" max="3600" width="20.1640625" style="72" customWidth="1"/>
    <col min="3601" max="3602" width="17.1640625" style="72" customWidth="1"/>
    <col min="3603" max="3603" width="21.5" style="72" customWidth="1"/>
    <col min="3604" max="3604" width="18.33203125" style="72" customWidth="1"/>
    <col min="3605" max="3605" width="28.5" style="72" customWidth="1"/>
    <col min="3606" max="3606" width="21" style="72" customWidth="1"/>
    <col min="3607" max="3607" width="17.5" style="72" customWidth="1"/>
    <col min="3608" max="3608" width="22.6640625" style="72" customWidth="1"/>
    <col min="3609" max="3609" width="17.1640625" style="72" customWidth="1"/>
    <col min="3610" max="3610" width="15.83203125" style="72" customWidth="1"/>
    <col min="3611" max="3611" width="15.5" style="72" customWidth="1"/>
    <col min="3612" max="3612" width="16" style="72" customWidth="1"/>
    <col min="3613" max="3613" width="9.1640625" style="72" customWidth="1"/>
    <col min="3614" max="3614" width="17.33203125" style="72" customWidth="1"/>
    <col min="3615" max="3615" width="16.5" style="72" bestFit="1" customWidth="1"/>
    <col min="3616" max="3616" width="10.83203125" style="72" bestFit="1" customWidth="1"/>
    <col min="3617" max="3853" width="9.1640625" style="72"/>
    <col min="3854" max="3854" width="29.33203125" style="72" customWidth="1"/>
    <col min="3855" max="3856" width="20.1640625" style="72" customWidth="1"/>
    <col min="3857" max="3858" width="17.1640625" style="72" customWidth="1"/>
    <col min="3859" max="3859" width="21.5" style="72" customWidth="1"/>
    <col min="3860" max="3860" width="18.33203125" style="72" customWidth="1"/>
    <col min="3861" max="3861" width="28.5" style="72" customWidth="1"/>
    <col min="3862" max="3862" width="21" style="72" customWidth="1"/>
    <col min="3863" max="3863" width="17.5" style="72" customWidth="1"/>
    <col min="3864" max="3864" width="22.6640625" style="72" customWidth="1"/>
    <col min="3865" max="3865" width="17.1640625" style="72" customWidth="1"/>
    <col min="3866" max="3866" width="15.83203125" style="72" customWidth="1"/>
    <col min="3867" max="3867" width="15.5" style="72" customWidth="1"/>
    <col min="3868" max="3868" width="16" style="72" customWidth="1"/>
    <col min="3869" max="3869" width="9.1640625" style="72" customWidth="1"/>
    <col min="3870" max="3870" width="17.33203125" style="72" customWidth="1"/>
    <col min="3871" max="3871" width="16.5" style="72" bestFit="1" customWidth="1"/>
    <col min="3872" max="3872" width="10.83203125" style="72" bestFit="1" customWidth="1"/>
    <col min="3873" max="4109" width="9.1640625" style="72"/>
    <col min="4110" max="4110" width="29.33203125" style="72" customWidth="1"/>
    <col min="4111" max="4112" width="20.1640625" style="72" customWidth="1"/>
    <col min="4113" max="4114" width="17.1640625" style="72" customWidth="1"/>
    <col min="4115" max="4115" width="21.5" style="72" customWidth="1"/>
    <col min="4116" max="4116" width="18.33203125" style="72" customWidth="1"/>
    <col min="4117" max="4117" width="28.5" style="72" customWidth="1"/>
    <col min="4118" max="4118" width="21" style="72" customWidth="1"/>
    <col min="4119" max="4119" width="17.5" style="72" customWidth="1"/>
    <col min="4120" max="4120" width="22.6640625" style="72" customWidth="1"/>
    <col min="4121" max="4121" width="17.1640625" style="72" customWidth="1"/>
    <col min="4122" max="4122" width="15.83203125" style="72" customWidth="1"/>
    <col min="4123" max="4123" width="15.5" style="72" customWidth="1"/>
    <col min="4124" max="4124" width="16" style="72" customWidth="1"/>
    <col min="4125" max="4125" width="9.1640625" style="72" customWidth="1"/>
    <col min="4126" max="4126" width="17.33203125" style="72" customWidth="1"/>
    <col min="4127" max="4127" width="16.5" style="72" bestFit="1" customWidth="1"/>
    <col min="4128" max="4128" width="10.83203125" style="72" bestFit="1" customWidth="1"/>
    <col min="4129" max="4365" width="9.1640625" style="72"/>
    <col min="4366" max="4366" width="29.33203125" style="72" customWidth="1"/>
    <col min="4367" max="4368" width="20.1640625" style="72" customWidth="1"/>
    <col min="4369" max="4370" width="17.1640625" style="72" customWidth="1"/>
    <col min="4371" max="4371" width="21.5" style="72" customWidth="1"/>
    <col min="4372" max="4372" width="18.33203125" style="72" customWidth="1"/>
    <col min="4373" max="4373" width="28.5" style="72" customWidth="1"/>
    <col min="4374" max="4374" width="21" style="72" customWidth="1"/>
    <col min="4375" max="4375" width="17.5" style="72" customWidth="1"/>
    <col min="4376" max="4376" width="22.6640625" style="72" customWidth="1"/>
    <col min="4377" max="4377" width="17.1640625" style="72" customWidth="1"/>
    <col min="4378" max="4378" width="15.83203125" style="72" customWidth="1"/>
    <col min="4379" max="4379" width="15.5" style="72" customWidth="1"/>
    <col min="4380" max="4380" width="16" style="72" customWidth="1"/>
    <col min="4381" max="4381" width="9.1640625" style="72" customWidth="1"/>
    <col min="4382" max="4382" width="17.33203125" style="72" customWidth="1"/>
    <col min="4383" max="4383" width="16.5" style="72" bestFit="1" customWidth="1"/>
    <col min="4384" max="4384" width="10.83203125" style="72" bestFit="1" customWidth="1"/>
    <col min="4385" max="4621" width="9.1640625" style="72"/>
    <col min="4622" max="4622" width="29.33203125" style="72" customWidth="1"/>
    <col min="4623" max="4624" width="20.1640625" style="72" customWidth="1"/>
    <col min="4625" max="4626" width="17.1640625" style="72" customWidth="1"/>
    <col min="4627" max="4627" width="21.5" style="72" customWidth="1"/>
    <col min="4628" max="4628" width="18.33203125" style="72" customWidth="1"/>
    <col min="4629" max="4629" width="28.5" style="72" customWidth="1"/>
    <col min="4630" max="4630" width="21" style="72" customWidth="1"/>
    <col min="4631" max="4631" width="17.5" style="72" customWidth="1"/>
    <col min="4632" max="4632" width="22.6640625" style="72" customWidth="1"/>
    <col min="4633" max="4633" width="17.1640625" style="72" customWidth="1"/>
    <col min="4634" max="4634" width="15.83203125" style="72" customWidth="1"/>
    <col min="4635" max="4635" width="15.5" style="72" customWidth="1"/>
    <col min="4636" max="4636" width="16" style="72" customWidth="1"/>
    <col min="4637" max="4637" width="9.1640625" style="72" customWidth="1"/>
    <col min="4638" max="4638" width="17.33203125" style="72" customWidth="1"/>
    <col min="4639" max="4639" width="16.5" style="72" bestFit="1" customWidth="1"/>
    <col min="4640" max="4640" width="10.83203125" style="72" bestFit="1" customWidth="1"/>
    <col min="4641" max="4877" width="9.1640625" style="72"/>
    <col min="4878" max="4878" width="29.33203125" style="72" customWidth="1"/>
    <col min="4879" max="4880" width="20.1640625" style="72" customWidth="1"/>
    <col min="4881" max="4882" width="17.1640625" style="72" customWidth="1"/>
    <col min="4883" max="4883" width="21.5" style="72" customWidth="1"/>
    <col min="4884" max="4884" width="18.33203125" style="72" customWidth="1"/>
    <col min="4885" max="4885" width="28.5" style="72" customWidth="1"/>
    <col min="4886" max="4886" width="21" style="72" customWidth="1"/>
    <col min="4887" max="4887" width="17.5" style="72" customWidth="1"/>
    <col min="4888" max="4888" width="22.6640625" style="72" customWidth="1"/>
    <col min="4889" max="4889" width="17.1640625" style="72" customWidth="1"/>
    <col min="4890" max="4890" width="15.83203125" style="72" customWidth="1"/>
    <col min="4891" max="4891" width="15.5" style="72" customWidth="1"/>
    <col min="4892" max="4892" width="16" style="72" customWidth="1"/>
    <col min="4893" max="4893" width="9.1640625" style="72" customWidth="1"/>
    <col min="4894" max="4894" width="17.33203125" style="72" customWidth="1"/>
    <col min="4895" max="4895" width="16.5" style="72" bestFit="1" customWidth="1"/>
    <col min="4896" max="4896" width="10.83203125" style="72" bestFit="1" customWidth="1"/>
    <col min="4897" max="5133" width="9.1640625" style="72"/>
    <col min="5134" max="5134" width="29.33203125" style="72" customWidth="1"/>
    <col min="5135" max="5136" width="20.1640625" style="72" customWidth="1"/>
    <col min="5137" max="5138" width="17.1640625" style="72" customWidth="1"/>
    <col min="5139" max="5139" width="21.5" style="72" customWidth="1"/>
    <col min="5140" max="5140" width="18.33203125" style="72" customWidth="1"/>
    <col min="5141" max="5141" width="28.5" style="72" customWidth="1"/>
    <col min="5142" max="5142" width="21" style="72" customWidth="1"/>
    <col min="5143" max="5143" width="17.5" style="72" customWidth="1"/>
    <col min="5144" max="5144" width="22.6640625" style="72" customWidth="1"/>
    <col min="5145" max="5145" width="17.1640625" style="72" customWidth="1"/>
    <col min="5146" max="5146" width="15.83203125" style="72" customWidth="1"/>
    <col min="5147" max="5147" width="15.5" style="72" customWidth="1"/>
    <col min="5148" max="5148" width="16" style="72" customWidth="1"/>
    <col min="5149" max="5149" width="9.1640625" style="72" customWidth="1"/>
    <col min="5150" max="5150" width="17.33203125" style="72" customWidth="1"/>
    <col min="5151" max="5151" width="16.5" style="72" bestFit="1" customWidth="1"/>
    <col min="5152" max="5152" width="10.83203125" style="72" bestFit="1" customWidth="1"/>
    <col min="5153" max="5389" width="9.1640625" style="72"/>
    <col min="5390" max="5390" width="29.33203125" style="72" customWidth="1"/>
    <col min="5391" max="5392" width="20.1640625" style="72" customWidth="1"/>
    <col min="5393" max="5394" width="17.1640625" style="72" customWidth="1"/>
    <col min="5395" max="5395" width="21.5" style="72" customWidth="1"/>
    <col min="5396" max="5396" width="18.33203125" style="72" customWidth="1"/>
    <col min="5397" max="5397" width="28.5" style="72" customWidth="1"/>
    <col min="5398" max="5398" width="21" style="72" customWidth="1"/>
    <col min="5399" max="5399" width="17.5" style="72" customWidth="1"/>
    <col min="5400" max="5400" width="22.6640625" style="72" customWidth="1"/>
    <col min="5401" max="5401" width="17.1640625" style="72" customWidth="1"/>
    <col min="5402" max="5402" width="15.83203125" style="72" customWidth="1"/>
    <col min="5403" max="5403" width="15.5" style="72" customWidth="1"/>
    <col min="5404" max="5404" width="16" style="72" customWidth="1"/>
    <col min="5405" max="5405" width="9.1640625" style="72" customWidth="1"/>
    <col min="5406" max="5406" width="17.33203125" style="72" customWidth="1"/>
    <col min="5407" max="5407" width="16.5" style="72" bestFit="1" customWidth="1"/>
    <col min="5408" max="5408" width="10.83203125" style="72" bestFit="1" customWidth="1"/>
    <col min="5409" max="5645" width="9.1640625" style="72"/>
    <col min="5646" max="5646" width="29.33203125" style="72" customWidth="1"/>
    <col min="5647" max="5648" width="20.1640625" style="72" customWidth="1"/>
    <col min="5649" max="5650" width="17.1640625" style="72" customWidth="1"/>
    <col min="5651" max="5651" width="21.5" style="72" customWidth="1"/>
    <col min="5652" max="5652" width="18.33203125" style="72" customWidth="1"/>
    <col min="5653" max="5653" width="28.5" style="72" customWidth="1"/>
    <col min="5654" max="5654" width="21" style="72" customWidth="1"/>
    <col min="5655" max="5655" width="17.5" style="72" customWidth="1"/>
    <col min="5656" max="5656" width="22.6640625" style="72" customWidth="1"/>
    <col min="5657" max="5657" width="17.1640625" style="72" customWidth="1"/>
    <col min="5658" max="5658" width="15.83203125" style="72" customWidth="1"/>
    <col min="5659" max="5659" width="15.5" style="72" customWidth="1"/>
    <col min="5660" max="5660" width="16" style="72" customWidth="1"/>
    <col min="5661" max="5661" width="9.1640625" style="72" customWidth="1"/>
    <col min="5662" max="5662" width="17.33203125" style="72" customWidth="1"/>
    <col min="5663" max="5663" width="16.5" style="72" bestFit="1" customWidth="1"/>
    <col min="5664" max="5664" width="10.83203125" style="72" bestFit="1" customWidth="1"/>
    <col min="5665" max="5901" width="9.1640625" style="72"/>
    <col min="5902" max="5902" width="29.33203125" style="72" customWidth="1"/>
    <col min="5903" max="5904" width="20.1640625" style="72" customWidth="1"/>
    <col min="5905" max="5906" width="17.1640625" style="72" customWidth="1"/>
    <col min="5907" max="5907" width="21.5" style="72" customWidth="1"/>
    <col min="5908" max="5908" width="18.33203125" style="72" customWidth="1"/>
    <col min="5909" max="5909" width="28.5" style="72" customWidth="1"/>
    <col min="5910" max="5910" width="21" style="72" customWidth="1"/>
    <col min="5911" max="5911" width="17.5" style="72" customWidth="1"/>
    <col min="5912" max="5912" width="22.6640625" style="72" customWidth="1"/>
    <col min="5913" max="5913" width="17.1640625" style="72" customWidth="1"/>
    <col min="5914" max="5914" width="15.83203125" style="72" customWidth="1"/>
    <col min="5915" max="5915" width="15.5" style="72" customWidth="1"/>
    <col min="5916" max="5916" width="16" style="72" customWidth="1"/>
    <col min="5917" max="5917" width="9.1640625" style="72" customWidth="1"/>
    <col min="5918" max="5918" width="17.33203125" style="72" customWidth="1"/>
    <col min="5919" max="5919" width="16.5" style="72" bestFit="1" customWidth="1"/>
    <col min="5920" max="5920" width="10.83203125" style="72" bestFit="1" customWidth="1"/>
    <col min="5921" max="6157" width="9.1640625" style="72"/>
    <col min="6158" max="6158" width="29.33203125" style="72" customWidth="1"/>
    <col min="6159" max="6160" width="20.1640625" style="72" customWidth="1"/>
    <col min="6161" max="6162" width="17.1640625" style="72" customWidth="1"/>
    <col min="6163" max="6163" width="21.5" style="72" customWidth="1"/>
    <col min="6164" max="6164" width="18.33203125" style="72" customWidth="1"/>
    <col min="6165" max="6165" width="28.5" style="72" customWidth="1"/>
    <col min="6166" max="6166" width="21" style="72" customWidth="1"/>
    <col min="6167" max="6167" width="17.5" style="72" customWidth="1"/>
    <col min="6168" max="6168" width="22.6640625" style="72" customWidth="1"/>
    <col min="6169" max="6169" width="17.1640625" style="72" customWidth="1"/>
    <col min="6170" max="6170" width="15.83203125" style="72" customWidth="1"/>
    <col min="6171" max="6171" width="15.5" style="72" customWidth="1"/>
    <col min="6172" max="6172" width="16" style="72" customWidth="1"/>
    <col min="6173" max="6173" width="9.1640625" style="72" customWidth="1"/>
    <col min="6174" max="6174" width="17.33203125" style="72" customWidth="1"/>
    <col min="6175" max="6175" width="16.5" style="72" bestFit="1" customWidth="1"/>
    <col min="6176" max="6176" width="10.83203125" style="72" bestFit="1" customWidth="1"/>
    <col min="6177" max="6413" width="9.1640625" style="72"/>
    <col min="6414" max="6414" width="29.33203125" style="72" customWidth="1"/>
    <col min="6415" max="6416" width="20.1640625" style="72" customWidth="1"/>
    <col min="6417" max="6418" width="17.1640625" style="72" customWidth="1"/>
    <col min="6419" max="6419" width="21.5" style="72" customWidth="1"/>
    <col min="6420" max="6420" width="18.33203125" style="72" customWidth="1"/>
    <col min="6421" max="6421" width="28.5" style="72" customWidth="1"/>
    <col min="6422" max="6422" width="21" style="72" customWidth="1"/>
    <col min="6423" max="6423" width="17.5" style="72" customWidth="1"/>
    <col min="6424" max="6424" width="22.6640625" style="72" customWidth="1"/>
    <col min="6425" max="6425" width="17.1640625" style="72" customWidth="1"/>
    <col min="6426" max="6426" width="15.83203125" style="72" customWidth="1"/>
    <col min="6427" max="6427" width="15.5" style="72" customWidth="1"/>
    <col min="6428" max="6428" width="16" style="72" customWidth="1"/>
    <col min="6429" max="6429" width="9.1640625" style="72" customWidth="1"/>
    <col min="6430" max="6430" width="17.33203125" style="72" customWidth="1"/>
    <col min="6431" max="6431" width="16.5" style="72" bestFit="1" customWidth="1"/>
    <col min="6432" max="6432" width="10.83203125" style="72" bestFit="1" customWidth="1"/>
    <col min="6433" max="6669" width="9.1640625" style="72"/>
    <col min="6670" max="6670" width="29.33203125" style="72" customWidth="1"/>
    <col min="6671" max="6672" width="20.1640625" style="72" customWidth="1"/>
    <col min="6673" max="6674" width="17.1640625" style="72" customWidth="1"/>
    <col min="6675" max="6675" width="21.5" style="72" customWidth="1"/>
    <col min="6676" max="6676" width="18.33203125" style="72" customWidth="1"/>
    <col min="6677" max="6677" width="28.5" style="72" customWidth="1"/>
    <col min="6678" max="6678" width="21" style="72" customWidth="1"/>
    <col min="6679" max="6679" width="17.5" style="72" customWidth="1"/>
    <col min="6680" max="6680" width="22.6640625" style="72" customWidth="1"/>
    <col min="6681" max="6681" width="17.1640625" style="72" customWidth="1"/>
    <col min="6682" max="6682" width="15.83203125" style="72" customWidth="1"/>
    <col min="6683" max="6683" width="15.5" style="72" customWidth="1"/>
    <col min="6684" max="6684" width="16" style="72" customWidth="1"/>
    <col min="6685" max="6685" width="9.1640625" style="72" customWidth="1"/>
    <col min="6686" max="6686" width="17.33203125" style="72" customWidth="1"/>
    <col min="6687" max="6687" width="16.5" style="72" bestFit="1" customWidth="1"/>
    <col min="6688" max="6688" width="10.83203125" style="72" bestFit="1" customWidth="1"/>
    <col min="6689" max="6925" width="9.1640625" style="72"/>
    <col min="6926" max="6926" width="29.33203125" style="72" customWidth="1"/>
    <col min="6927" max="6928" width="20.1640625" style="72" customWidth="1"/>
    <col min="6929" max="6930" width="17.1640625" style="72" customWidth="1"/>
    <col min="6931" max="6931" width="21.5" style="72" customWidth="1"/>
    <col min="6932" max="6932" width="18.33203125" style="72" customWidth="1"/>
    <col min="6933" max="6933" width="28.5" style="72" customWidth="1"/>
    <col min="6934" max="6934" width="21" style="72" customWidth="1"/>
    <col min="6935" max="6935" width="17.5" style="72" customWidth="1"/>
    <col min="6936" max="6936" width="22.6640625" style="72" customWidth="1"/>
    <col min="6937" max="6937" width="17.1640625" style="72" customWidth="1"/>
    <col min="6938" max="6938" width="15.83203125" style="72" customWidth="1"/>
    <col min="6939" max="6939" width="15.5" style="72" customWidth="1"/>
    <col min="6940" max="6940" width="16" style="72" customWidth="1"/>
    <col min="6941" max="6941" width="9.1640625" style="72" customWidth="1"/>
    <col min="6942" max="6942" width="17.33203125" style="72" customWidth="1"/>
    <col min="6943" max="6943" width="16.5" style="72" bestFit="1" customWidth="1"/>
    <col min="6944" max="6944" width="10.83203125" style="72" bestFit="1" customWidth="1"/>
    <col min="6945" max="7181" width="9.1640625" style="72"/>
    <col min="7182" max="7182" width="29.33203125" style="72" customWidth="1"/>
    <col min="7183" max="7184" width="20.1640625" style="72" customWidth="1"/>
    <col min="7185" max="7186" width="17.1640625" style="72" customWidth="1"/>
    <col min="7187" max="7187" width="21.5" style="72" customWidth="1"/>
    <col min="7188" max="7188" width="18.33203125" style="72" customWidth="1"/>
    <col min="7189" max="7189" width="28.5" style="72" customWidth="1"/>
    <col min="7190" max="7190" width="21" style="72" customWidth="1"/>
    <col min="7191" max="7191" width="17.5" style="72" customWidth="1"/>
    <col min="7192" max="7192" width="22.6640625" style="72" customWidth="1"/>
    <col min="7193" max="7193" width="17.1640625" style="72" customWidth="1"/>
    <col min="7194" max="7194" width="15.83203125" style="72" customWidth="1"/>
    <col min="7195" max="7195" width="15.5" style="72" customWidth="1"/>
    <col min="7196" max="7196" width="16" style="72" customWidth="1"/>
    <col min="7197" max="7197" width="9.1640625" style="72" customWidth="1"/>
    <col min="7198" max="7198" width="17.33203125" style="72" customWidth="1"/>
    <col min="7199" max="7199" width="16.5" style="72" bestFit="1" customWidth="1"/>
    <col min="7200" max="7200" width="10.83203125" style="72" bestFit="1" customWidth="1"/>
    <col min="7201" max="7437" width="9.1640625" style="72"/>
    <col min="7438" max="7438" width="29.33203125" style="72" customWidth="1"/>
    <col min="7439" max="7440" width="20.1640625" style="72" customWidth="1"/>
    <col min="7441" max="7442" width="17.1640625" style="72" customWidth="1"/>
    <col min="7443" max="7443" width="21.5" style="72" customWidth="1"/>
    <col min="7444" max="7444" width="18.33203125" style="72" customWidth="1"/>
    <col min="7445" max="7445" width="28.5" style="72" customWidth="1"/>
    <col min="7446" max="7446" width="21" style="72" customWidth="1"/>
    <col min="7447" max="7447" width="17.5" style="72" customWidth="1"/>
    <col min="7448" max="7448" width="22.6640625" style="72" customWidth="1"/>
    <col min="7449" max="7449" width="17.1640625" style="72" customWidth="1"/>
    <col min="7450" max="7450" width="15.83203125" style="72" customWidth="1"/>
    <col min="7451" max="7451" width="15.5" style="72" customWidth="1"/>
    <col min="7452" max="7452" width="16" style="72" customWidth="1"/>
    <col min="7453" max="7453" width="9.1640625" style="72" customWidth="1"/>
    <col min="7454" max="7454" width="17.33203125" style="72" customWidth="1"/>
    <col min="7455" max="7455" width="16.5" style="72" bestFit="1" customWidth="1"/>
    <col min="7456" max="7456" width="10.83203125" style="72" bestFit="1" customWidth="1"/>
    <col min="7457" max="7693" width="9.1640625" style="72"/>
    <col min="7694" max="7694" width="29.33203125" style="72" customWidth="1"/>
    <col min="7695" max="7696" width="20.1640625" style="72" customWidth="1"/>
    <col min="7697" max="7698" width="17.1640625" style="72" customWidth="1"/>
    <col min="7699" max="7699" width="21.5" style="72" customWidth="1"/>
    <col min="7700" max="7700" width="18.33203125" style="72" customWidth="1"/>
    <col min="7701" max="7701" width="28.5" style="72" customWidth="1"/>
    <col min="7702" max="7702" width="21" style="72" customWidth="1"/>
    <col min="7703" max="7703" width="17.5" style="72" customWidth="1"/>
    <col min="7704" max="7704" width="22.6640625" style="72" customWidth="1"/>
    <col min="7705" max="7705" width="17.1640625" style="72" customWidth="1"/>
    <col min="7706" max="7706" width="15.83203125" style="72" customWidth="1"/>
    <col min="7707" max="7707" width="15.5" style="72" customWidth="1"/>
    <col min="7708" max="7708" width="16" style="72" customWidth="1"/>
    <col min="7709" max="7709" width="9.1640625" style="72" customWidth="1"/>
    <col min="7710" max="7710" width="17.33203125" style="72" customWidth="1"/>
    <col min="7711" max="7711" width="16.5" style="72" bestFit="1" customWidth="1"/>
    <col min="7712" max="7712" width="10.83203125" style="72" bestFit="1" customWidth="1"/>
    <col min="7713" max="7949" width="9.1640625" style="72"/>
    <col min="7950" max="7950" width="29.33203125" style="72" customWidth="1"/>
    <col min="7951" max="7952" width="20.1640625" style="72" customWidth="1"/>
    <col min="7953" max="7954" width="17.1640625" style="72" customWidth="1"/>
    <col min="7955" max="7955" width="21.5" style="72" customWidth="1"/>
    <col min="7956" max="7956" width="18.33203125" style="72" customWidth="1"/>
    <col min="7957" max="7957" width="28.5" style="72" customWidth="1"/>
    <col min="7958" max="7958" width="21" style="72" customWidth="1"/>
    <col min="7959" max="7959" width="17.5" style="72" customWidth="1"/>
    <col min="7960" max="7960" width="22.6640625" style="72" customWidth="1"/>
    <col min="7961" max="7961" width="17.1640625" style="72" customWidth="1"/>
    <col min="7962" max="7962" width="15.83203125" style="72" customWidth="1"/>
    <col min="7963" max="7963" width="15.5" style="72" customWidth="1"/>
    <col min="7964" max="7964" width="16" style="72" customWidth="1"/>
    <col min="7965" max="7965" width="9.1640625" style="72" customWidth="1"/>
    <col min="7966" max="7966" width="17.33203125" style="72" customWidth="1"/>
    <col min="7967" max="7967" width="16.5" style="72" bestFit="1" customWidth="1"/>
    <col min="7968" max="7968" width="10.83203125" style="72" bestFit="1" customWidth="1"/>
    <col min="7969" max="8205" width="9.1640625" style="72"/>
    <col min="8206" max="8206" width="29.33203125" style="72" customWidth="1"/>
    <col min="8207" max="8208" width="20.1640625" style="72" customWidth="1"/>
    <col min="8209" max="8210" width="17.1640625" style="72" customWidth="1"/>
    <col min="8211" max="8211" width="21.5" style="72" customWidth="1"/>
    <col min="8212" max="8212" width="18.33203125" style="72" customWidth="1"/>
    <col min="8213" max="8213" width="28.5" style="72" customWidth="1"/>
    <col min="8214" max="8214" width="21" style="72" customWidth="1"/>
    <col min="8215" max="8215" width="17.5" style="72" customWidth="1"/>
    <col min="8216" max="8216" width="22.6640625" style="72" customWidth="1"/>
    <col min="8217" max="8217" width="17.1640625" style="72" customWidth="1"/>
    <col min="8218" max="8218" width="15.83203125" style="72" customWidth="1"/>
    <col min="8219" max="8219" width="15.5" style="72" customWidth="1"/>
    <col min="8220" max="8220" width="16" style="72" customWidth="1"/>
    <col min="8221" max="8221" width="9.1640625" style="72" customWidth="1"/>
    <col min="8222" max="8222" width="17.33203125" style="72" customWidth="1"/>
    <col min="8223" max="8223" width="16.5" style="72" bestFit="1" customWidth="1"/>
    <col min="8224" max="8224" width="10.83203125" style="72" bestFit="1" customWidth="1"/>
    <col min="8225" max="8461" width="9.1640625" style="72"/>
    <col min="8462" max="8462" width="29.33203125" style="72" customWidth="1"/>
    <col min="8463" max="8464" width="20.1640625" style="72" customWidth="1"/>
    <col min="8465" max="8466" width="17.1640625" style="72" customWidth="1"/>
    <col min="8467" max="8467" width="21.5" style="72" customWidth="1"/>
    <col min="8468" max="8468" width="18.33203125" style="72" customWidth="1"/>
    <col min="8469" max="8469" width="28.5" style="72" customWidth="1"/>
    <col min="8470" max="8470" width="21" style="72" customWidth="1"/>
    <col min="8471" max="8471" width="17.5" style="72" customWidth="1"/>
    <col min="8472" max="8472" width="22.6640625" style="72" customWidth="1"/>
    <col min="8473" max="8473" width="17.1640625" style="72" customWidth="1"/>
    <col min="8474" max="8474" width="15.83203125" style="72" customWidth="1"/>
    <col min="8475" max="8475" width="15.5" style="72" customWidth="1"/>
    <col min="8476" max="8476" width="16" style="72" customWidth="1"/>
    <col min="8477" max="8477" width="9.1640625" style="72" customWidth="1"/>
    <col min="8478" max="8478" width="17.33203125" style="72" customWidth="1"/>
    <col min="8479" max="8479" width="16.5" style="72" bestFit="1" customWidth="1"/>
    <col min="8480" max="8480" width="10.83203125" style="72" bestFit="1" customWidth="1"/>
    <col min="8481" max="8717" width="9.1640625" style="72"/>
    <col min="8718" max="8718" width="29.33203125" style="72" customWidth="1"/>
    <col min="8719" max="8720" width="20.1640625" style="72" customWidth="1"/>
    <col min="8721" max="8722" width="17.1640625" style="72" customWidth="1"/>
    <col min="8723" max="8723" width="21.5" style="72" customWidth="1"/>
    <col min="8724" max="8724" width="18.33203125" style="72" customWidth="1"/>
    <col min="8725" max="8725" width="28.5" style="72" customWidth="1"/>
    <col min="8726" max="8726" width="21" style="72" customWidth="1"/>
    <col min="8727" max="8727" width="17.5" style="72" customWidth="1"/>
    <col min="8728" max="8728" width="22.6640625" style="72" customWidth="1"/>
    <col min="8729" max="8729" width="17.1640625" style="72" customWidth="1"/>
    <col min="8730" max="8730" width="15.83203125" style="72" customWidth="1"/>
    <col min="8731" max="8731" width="15.5" style="72" customWidth="1"/>
    <col min="8732" max="8732" width="16" style="72" customWidth="1"/>
    <col min="8733" max="8733" width="9.1640625" style="72" customWidth="1"/>
    <col min="8734" max="8734" width="17.33203125" style="72" customWidth="1"/>
    <col min="8735" max="8735" width="16.5" style="72" bestFit="1" customWidth="1"/>
    <col min="8736" max="8736" width="10.83203125" style="72" bestFit="1" customWidth="1"/>
    <col min="8737" max="8973" width="9.1640625" style="72"/>
    <col min="8974" max="8974" width="29.33203125" style="72" customWidth="1"/>
    <col min="8975" max="8976" width="20.1640625" style="72" customWidth="1"/>
    <col min="8977" max="8978" width="17.1640625" style="72" customWidth="1"/>
    <col min="8979" max="8979" width="21.5" style="72" customWidth="1"/>
    <col min="8980" max="8980" width="18.33203125" style="72" customWidth="1"/>
    <col min="8981" max="8981" width="28.5" style="72" customWidth="1"/>
    <col min="8982" max="8982" width="21" style="72" customWidth="1"/>
    <col min="8983" max="8983" width="17.5" style="72" customWidth="1"/>
    <col min="8984" max="8984" width="22.6640625" style="72" customWidth="1"/>
    <col min="8985" max="8985" width="17.1640625" style="72" customWidth="1"/>
    <col min="8986" max="8986" width="15.83203125" style="72" customWidth="1"/>
    <col min="8987" max="8987" width="15.5" style="72" customWidth="1"/>
    <col min="8988" max="8988" width="16" style="72" customWidth="1"/>
    <col min="8989" max="8989" width="9.1640625" style="72" customWidth="1"/>
    <col min="8990" max="8990" width="17.33203125" style="72" customWidth="1"/>
    <col min="8991" max="8991" width="16.5" style="72" bestFit="1" customWidth="1"/>
    <col min="8992" max="8992" width="10.83203125" style="72" bestFit="1" customWidth="1"/>
    <col min="8993" max="9229" width="9.1640625" style="72"/>
    <col min="9230" max="9230" width="29.33203125" style="72" customWidth="1"/>
    <col min="9231" max="9232" width="20.1640625" style="72" customWidth="1"/>
    <col min="9233" max="9234" width="17.1640625" style="72" customWidth="1"/>
    <col min="9235" max="9235" width="21.5" style="72" customWidth="1"/>
    <col min="9236" max="9236" width="18.33203125" style="72" customWidth="1"/>
    <col min="9237" max="9237" width="28.5" style="72" customWidth="1"/>
    <col min="9238" max="9238" width="21" style="72" customWidth="1"/>
    <col min="9239" max="9239" width="17.5" style="72" customWidth="1"/>
    <col min="9240" max="9240" width="22.6640625" style="72" customWidth="1"/>
    <col min="9241" max="9241" width="17.1640625" style="72" customWidth="1"/>
    <col min="9242" max="9242" width="15.83203125" style="72" customWidth="1"/>
    <col min="9243" max="9243" width="15.5" style="72" customWidth="1"/>
    <col min="9244" max="9244" width="16" style="72" customWidth="1"/>
    <col min="9245" max="9245" width="9.1640625" style="72" customWidth="1"/>
    <col min="9246" max="9246" width="17.33203125" style="72" customWidth="1"/>
    <col min="9247" max="9247" width="16.5" style="72" bestFit="1" customWidth="1"/>
    <col min="9248" max="9248" width="10.83203125" style="72" bestFit="1" customWidth="1"/>
    <col min="9249" max="9485" width="9.1640625" style="72"/>
    <col min="9486" max="9486" width="29.33203125" style="72" customWidth="1"/>
    <col min="9487" max="9488" width="20.1640625" style="72" customWidth="1"/>
    <col min="9489" max="9490" width="17.1640625" style="72" customWidth="1"/>
    <col min="9491" max="9491" width="21.5" style="72" customWidth="1"/>
    <col min="9492" max="9492" width="18.33203125" style="72" customWidth="1"/>
    <col min="9493" max="9493" width="28.5" style="72" customWidth="1"/>
    <col min="9494" max="9494" width="21" style="72" customWidth="1"/>
    <col min="9495" max="9495" width="17.5" style="72" customWidth="1"/>
    <col min="9496" max="9496" width="22.6640625" style="72" customWidth="1"/>
    <col min="9497" max="9497" width="17.1640625" style="72" customWidth="1"/>
    <col min="9498" max="9498" width="15.83203125" style="72" customWidth="1"/>
    <col min="9499" max="9499" width="15.5" style="72" customWidth="1"/>
    <col min="9500" max="9500" width="16" style="72" customWidth="1"/>
    <col min="9501" max="9501" width="9.1640625" style="72" customWidth="1"/>
    <col min="9502" max="9502" width="17.33203125" style="72" customWidth="1"/>
    <col min="9503" max="9503" width="16.5" style="72" bestFit="1" customWidth="1"/>
    <col min="9504" max="9504" width="10.83203125" style="72" bestFit="1" customWidth="1"/>
    <col min="9505" max="9741" width="9.1640625" style="72"/>
    <col min="9742" max="9742" width="29.33203125" style="72" customWidth="1"/>
    <col min="9743" max="9744" width="20.1640625" style="72" customWidth="1"/>
    <col min="9745" max="9746" width="17.1640625" style="72" customWidth="1"/>
    <col min="9747" max="9747" width="21.5" style="72" customWidth="1"/>
    <col min="9748" max="9748" width="18.33203125" style="72" customWidth="1"/>
    <col min="9749" max="9749" width="28.5" style="72" customWidth="1"/>
    <col min="9750" max="9750" width="21" style="72" customWidth="1"/>
    <col min="9751" max="9751" width="17.5" style="72" customWidth="1"/>
    <col min="9752" max="9752" width="22.6640625" style="72" customWidth="1"/>
    <col min="9753" max="9753" width="17.1640625" style="72" customWidth="1"/>
    <col min="9754" max="9754" width="15.83203125" style="72" customWidth="1"/>
    <col min="9755" max="9755" width="15.5" style="72" customWidth="1"/>
    <col min="9756" max="9756" width="16" style="72" customWidth="1"/>
    <col min="9757" max="9757" width="9.1640625" style="72" customWidth="1"/>
    <col min="9758" max="9758" width="17.33203125" style="72" customWidth="1"/>
    <col min="9759" max="9759" width="16.5" style="72" bestFit="1" customWidth="1"/>
    <col min="9760" max="9760" width="10.83203125" style="72" bestFit="1" customWidth="1"/>
    <col min="9761" max="9997" width="9.1640625" style="72"/>
    <col min="9998" max="9998" width="29.33203125" style="72" customWidth="1"/>
    <col min="9999" max="10000" width="20.1640625" style="72" customWidth="1"/>
    <col min="10001" max="10002" width="17.1640625" style="72" customWidth="1"/>
    <col min="10003" max="10003" width="21.5" style="72" customWidth="1"/>
    <col min="10004" max="10004" width="18.33203125" style="72" customWidth="1"/>
    <col min="10005" max="10005" width="28.5" style="72" customWidth="1"/>
    <col min="10006" max="10006" width="21" style="72" customWidth="1"/>
    <col min="10007" max="10007" width="17.5" style="72" customWidth="1"/>
    <col min="10008" max="10008" width="22.6640625" style="72" customWidth="1"/>
    <col min="10009" max="10009" width="17.1640625" style="72" customWidth="1"/>
    <col min="10010" max="10010" width="15.83203125" style="72" customWidth="1"/>
    <col min="10011" max="10011" width="15.5" style="72" customWidth="1"/>
    <col min="10012" max="10012" width="16" style="72" customWidth="1"/>
    <col min="10013" max="10013" width="9.1640625" style="72" customWidth="1"/>
    <col min="10014" max="10014" width="17.33203125" style="72" customWidth="1"/>
    <col min="10015" max="10015" width="16.5" style="72" bestFit="1" customWidth="1"/>
    <col min="10016" max="10016" width="10.83203125" style="72" bestFit="1" customWidth="1"/>
    <col min="10017" max="10253" width="9.1640625" style="72"/>
    <col min="10254" max="10254" width="29.33203125" style="72" customWidth="1"/>
    <col min="10255" max="10256" width="20.1640625" style="72" customWidth="1"/>
    <col min="10257" max="10258" width="17.1640625" style="72" customWidth="1"/>
    <col min="10259" max="10259" width="21.5" style="72" customWidth="1"/>
    <col min="10260" max="10260" width="18.33203125" style="72" customWidth="1"/>
    <col min="10261" max="10261" width="28.5" style="72" customWidth="1"/>
    <col min="10262" max="10262" width="21" style="72" customWidth="1"/>
    <col min="10263" max="10263" width="17.5" style="72" customWidth="1"/>
    <col min="10264" max="10264" width="22.6640625" style="72" customWidth="1"/>
    <col min="10265" max="10265" width="17.1640625" style="72" customWidth="1"/>
    <col min="10266" max="10266" width="15.83203125" style="72" customWidth="1"/>
    <col min="10267" max="10267" width="15.5" style="72" customWidth="1"/>
    <col min="10268" max="10268" width="16" style="72" customWidth="1"/>
    <col min="10269" max="10269" width="9.1640625" style="72" customWidth="1"/>
    <col min="10270" max="10270" width="17.33203125" style="72" customWidth="1"/>
    <col min="10271" max="10271" width="16.5" style="72" bestFit="1" customWidth="1"/>
    <col min="10272" max="10272" width="10.83203125" style="72" bestFit="1" customWidth="1"/>
    <col min="10273" max="10509" width="9.1640625" style="72"/>
    <col min="10510" max="10510" width="29.33203125" style="72" customWidth="1"/>
    <col min="10511" max="10512" width="20.1640625" style="72" customWidth="1"/>
    <col min="10513" max="10514" width="17.1640625" style="72" customWidth="1"/>
    <col min="10515" max="10515" width="21.5" style="72" customWidth="1"/>
    <col min="10516" max="10516" width="18.33203125" style="72" customWidth="1"/>
    <col min="10517" max="10517" width="28.5" style="72" customWidth="1"/>
    <col min="10518" max="10518" width="21" style="72" customWidth="1"/>
    <col min="10519" max="10519" width="17.5" style="72" customWidth="1"/>
    <col min="10520" max="10520" width="22.6640625" style="72" customWidth="1"/>
    <col min="10521" max="10521" width="17.1640625" style="72" customWidth="1"/>
    <col min="10522" max="10522" width="15.83203125" style="72" customWidth="1"/>
    <col min="10523" max="10523" width="15.5" style="72" customWidth="1"/>
    <col min="10524" max="10524" width="16" style="72" customWidth="1"/>
    <col min="10525" max="10525" width="9.1640625" style="72" customWidth="1"/>
    <col min="10526" max="10526" width="17.33203125" style="72" customWidth="1"/>
    <col min="10527" max="10527" width="16.5" style="72" bestFit="1" customWidth="1"/>
    <col min="10528" max="10528" width="10.83203125" style="72" bestFit="1" customWidth="1"/>
    <col min="10529" max="10765" width="9.1640625" style="72"/>
    <col min="10766" max="10766" width="29.33203125" style="72" customWidth="1"/>
    <col min="10767" max="10768" width="20.1640625" style="72" customWidth="1"/>
    <col min="10769" max="10770" width="17.1640625" style="72" customWidth="1"/>
    <col min="10771" max="10771" width="21.5" style="72" customWidth="1"/>
    <col min="10772" max="10772" width="18.33203125" style="72" customWidth="1"/>
    <col min="10773" max="10773" width="28.5" style="72" customWidth="1"/>
    <col min="10774" max="10774" width="21" style="72" customWidth="1"/>
    <col min="10775" max="10775" width="17.5" style="72" customWidth="1"/>
    <col min="10776" max="10776" width="22.6640625" style="72" customWidth="1"/>
    <col min="10777" max="10777" width="17.1640625" style="72" customWidth="1"/>
    <col min="10778" max="10778" width="15.83203125" style="72" customWidth="1"/>
    <col min="10779" max="10779" width="15.5" style="72" customWidth="1"/>
    <col min="10780" max="10780" width="16" style="72" customWidth="1"/>
    <col min="10781" max="10781" width="9.1640625" style="72" customWidth="1"/>
    <col min="10782" max="10782" width="17.33203125" style="72" customWidth="1"/>
    <col min="10783" max="10783" width="16.5" style="72" bestFit="1" customWidth="1"/>
    <col min="10784" max="10784" width="10.83203125" style="72" bestFit="1" customWidth="1"/>
    <col min="10785" max="11021" width="9.1640625" style="72"/>
    <col min="11022" max="11022" width="29.33203125" style="72" customWidth="1"/>
    <col min="11023" max="11024" width="20.1640625" style="72" customWidth="1"/>
    <col min="11025" max="11026" width="17.1640625" style="72" customWidth="1"/>
    <col min="11027" max="11027" width="21.5" style="72" customWidth="1"/>
    <col min="11028" max="11028" width="18.33203125" style="72" customWidth="1"/>
    <col min="11029" max="11029" width="28.5" style="72" customWidth="1"/>
    <col min="11030" max="11030" width="21" style="72" customWidth="1"/>
    <col min="11031" max="11031" width="17.5" style="72" customWidth="1"/>
    <col min="11032" max="11032" width="22.6640625" style="72" customWidth="1"/>
    <col min="11033" max="11033" width="17.1640625" style="72" customWidth="1"/>
    <col min="11034" max="11034" width="15.83203125" style="72" customWidth="1"/>
    <col min="11035" max="11035" width="15.5" style="72" customWidth="1"/>
    <col min="11036" max="11036" width="16" style="72" customWidth="1"/>
    <col min="11037" max="11037" width="9.1640625" style="72" customWidth="1"/>
    <col min="11038" max="11038" width="17.33203125" style="72" customWidth="1"/>
    <col min="11039" max="11039" width="16.5" style="72" bestFit="1" customWidth="1"/>
    <col min="11040" max="11040" width="10.83203125" style="72" bestFit="1" customWidth="1"/>
    <col min="11041" max="11277" width="9.1640625" style="72"/>
    <col min="11278" max="11278" width="29.33203125" style="72" customWidth="1"/>
    <col min="11279" max="11280" width="20.1640625" style="72" customWidth="1"/>
    <col min="11281" max="11282" width="17.1640625" style="72" customWidth="1"/>
    <col min="11283" max="11283" width="21.5" style="72" customWidth="1"/>
    <col min="11284" max="11284" width="18.33203125" style="72" customWidth="1"/>
    <col min="11285" max="11285" width="28.5" style="72" customWidth="1"/>
    <col min="11286" max="11286" width="21" style="72" customWidth="1"/>
    <col min="11287" max="11287" width="17.5" style="72" customWidth="1"/>
    <col min="11288" max="11288" width="22.6640625" style="72" customWidth="1"/>
    <col min="11289" max="11289" width="17.1640625" style="72" customWidth="1"/>
    <col min="11290" max="11290" width="15.83203125" style="72" customWidth="1"/>
    <col min="11291" max="11291" width="15.5" style="72" customWidth="1"/>
    <col min="11292" max="11292" width="16" style="72" customWidth="1"/>
    <col min="11293" max="11293" width="9.1640625" style="72" customWidth="1"/>
    <col min="11294" max="11294" width="17.33203125" style="72" customWidth="1"/>
    <col min="11295" max="11295" width="16.5" style="72" bestFit="1" customWidth="1"/>
    <col min="11296" max="11296" width="10.83203125" style="72" bestFit="1" customWidth="1"/>
    <col min="11297" max="11533" width="9.1640625" style="72"/>
    <col min="11534" max="11534" width="29.33203125" style="72" customWidth="1"/>
    <col min="11535" max="11536" width="20.1640625" style="72" customWidth="1"/>
    <col min="11537" max="11538" width="17.1640625" style="72" customWidth="1"/>
    <col min="11539" max="11539" width="21.5" style="72" customWidth="1"/>
    <col min="11540" max="11540" width="18.33203125" style="72" customWidth="1"/>
    <col min="11541" max="11541" width="28.5" style="72" customWidth="1"/>
    <col min="11542" max="11542" width="21" style="72" customWidth="1"/>
    <col min="11543" max="11543" width="17.5" style="72" customWidth="1"/>
    <col min="11544" max="11544" width="22.6640625" style="72" customWidth="1"/>
    <col min="11545" max="11545" width="17.1640625" style="72" customWidth="1"/>
    <col min="11546" max="11546" width="15.83203125" style="72" customWidth="1"/>
    <col min="11547" max="11547" width="15.5" style="72" customWidth="1"/>
    <col min="11548" max="11548" width="16" style="72" customWidth="1"/>
    <col min="11549" max="11549" width="9.1640625" style="72" customWidth="1"/>
    <col min="11550" max="11550" width="17.33203125" style="72" customWidth="1"/>
    <col min="11551" max="11551" width="16.5" style="72" bestFit="1" customWidth="1"/>
    <col min="11552" max="11552" width="10.83203125" style="72" bestFit="1" customWidth="1"/>
    <col min="11553" max="11789" width="9.1640625" style="72"/>
    <col min="11790" max="11790" width="29.33203125" style="72" customWidth="1"/>
    <col min="11791" max="11792" width="20.1640625" style="72" customWidth="1"/>
    <col min="11793" max="11794" width="17.1640625" style="72" customWidth="1"/>
    <col min="11795" max="11795" width="21.5" style="72" customWidth="1"/>
    <col min="11796" max="11796" width="18.33203125" style="72" customWidth="1"/>
    <col min="11797" max="11797" width="28.5" style="72" customWidth="1"/>
    <col min="11798" max="11798" width="21" style="72" customWidth="1"/>
    <col min="11799" max="11799" width="17.5" style="72" customWidth="1"/>
    <col min="11800" max="11800" width="22.6640625" style="72" customWidth="1"/>
    <col min="11801" max="11801" width="17.1640625" style="72" customWidth="1"/>
    <col min="11802" max="11802" width="15.83203125" style="72" customWidth="1"/>
    <col min="11803" max="11803" width="15.5" style="72" customWidth="1"/>
    <col min="11804" max="11804" width="16" style="72" customWidth="1"/>
    <col min="11805" max="11805" width="9.1640625" style="72" customWidth="1"/>
    <col min="11806" max="11806" width="17.33203125" style="72" customWidth="1"/>
    <col min="11807" max="11807" width="16.5" style="72" bestFit="1" customWidth="1"/>
    <col min="11808" max="11808" width="10.83203125" style="72" bestFit="1" customWidth="1"/>
    <col min="11809" max="12045" width="9.1640625" style="72"/>
    <col min="12046" max="12046" width="29.33203125" style="72" customWidth="1"/>
    <col min="12047" max="12048" width="20.1640625" style="72" customWidth="1"/>
    <col min="12049" max="12050" width="17.1640625" style="72" customWidth="1"/>
    <col min="12051" max="12051" width="21.5" style="72" customWidth="1"/>
    <col min="12052" max="12052" width="18.33203125" style="72" customWidth="1"/>
    <col min="12053" max="12053" width="28.5" style="72" customWidth="1"/>
    <col min="12054" max="12054" width="21" style="72" customWidth="1"/>
    <col min="12055" max="12055" width="17.5" style="72" customWidth="1"/>
    <col min="12056" max="12056" width="22.6640625" style="72" customWidth="1"/>
    <col min="12057" max="12057" width="17.1640625" style="72" customWidth="1"/>
    <col min="12058" max="12058" width="15.83203125" style="72" customWidth="1"/>
    <col min="12059" max="12059" width="15.5" style="72" customWidth="1"/>
    <col min="12060" max="12060" width="16" style="72" customWidth="1"/>
    <col min="12061" max="12061" width="9.1640625" style="72" customWidth="1"/>
    <col min="12062" max="12062" width="17.33203125" style="72" customWidth="1"/>
    <col min="12063" max="12063" width="16.5" style="72" bestFit="1" customWidth="1"/>
    <col min="12064" max="12064" width="10.83203125" style="72" bestFit="1" customWidth="1"/>
    <col min="12065" max="12301" width="9.1640625" style="72"/>
    <col min="12302" max="12302" width="29.33203125" style="72" customWidth="1"/>
    <col min="12303" max="12304" width="20.1640625" style="72" customWidth="1"/>
    <col min="12305" max="12306" width="17.1640625" style="72" customWidth="1"/>
    <col min="12307" max="12307" width="21.5" style="72" customWidth="1"/>
    <col min="12308" max="12308" width="18.33203125" style="72" customWidth="1"/>
    <col min="12309" max="12309" width="28.5" style="72" customWidth="1"/>
    <col min="12310" max="12310" width="21" style="72" customWidth="1"/>
    <col min="12311" max="12311" width="17.5" style="72" customWidth="1"/>
    <col min="12312" max="12312" width="22.6640625" style="72" customWidth="1"/>
    <col min="12313" max="12313" width="17.1640625" style="72" customWidth="1"/>
    <col min="12314" max="12314" width="15.83203125" style="72" customWidth="1"/>
    <col min="12315" max="12315" width="15.5" style="72" customWidth="1"/>
    <col min="12316" max="12316" width="16" style="72" customWidth="1"/>
    <col min="12317" max="12317" width="9.1640625" style="72" customWidth="1"/>
    <col min="12318" max="12318" width="17.33203125" style="72" customWidth="1"/>
    <col min="12319" max="12319" width="16.5" style="72" bestFit="1" customWidth="1"/>
    <col min="12320" max="12320" width="10.83203125" style="72" bestFit="1" customWidth="1"/>
    <col min="12321" max="12557" width="9.1640625" style="72"/>
    <col min="12558" max="12558" width="29.33203125" style="72" customWidth="1"/>
    <col min="12559" max="12560" width="20.1640625" style="72" customWidth="1"/>
    <col min="12561" max="12562" width="17.1640625" style="72" customWidth="1"/>
    <col min="12563" max="12563" width="21.5" style="72" customWidth="1"/>
    <col min="12564" max="12564" width="18.33203125" style="72" customWidth="1"/>
    <col min="12565" max="12565" width="28.5" style="72" customWidth="1"/>
    <col min="12566" max="12566" width="21" style="72" customWidth="1"/>
    <col min="12567" max="12567" width="17.5" style="72" customWidth="1"/>
    <col min="12568" max="12568" width="22.6640625" style="72" customWidth="1"/>
    <col min="12569" max="12569" width="17.1640625" style="72" customWidth="1"/>
    <col min="12570" max="12570" width="15.83203125" style="72" customWidth="1"/>
    <col min="12571" max="12571" width="15.5" style="72" customWidth="1"/>
    <col min="12572" max="12572" width="16" style="72" customWidth="1"/>
    <col min="12573" max="12573" width="9.1640625" style="72" customWidth="1"/>
    <col min="12574" max="12574" width="17.33203125" style="72" customWidth="1"/>
    <col min="12575" max="12575" width="16.5" style="72" bestFit="1" customWidth="1"/>
    <col min="12576" max="12576" width="10.83203125" style="72" bestFit="1" customWidth="1"/>
    <col min="12577" max="12813" width="9.1640625" style="72"/>
    <col min="12814" max="12814" width="29.33203125" style="72" customWidth="1"/>
    <col min="12815" max="12816" width="20.1640625" style="72" customWidth="1"/>
    <col min="12817" max="12818" width="17.1640625" style="72" customWidth="1"/>
    <col min="12819" max="12819" width="21.5" style="72" customWidth="1"/>
    <col min="12820" max="12820" width="18.33203125" style="72" customWidth="1"/>
    <col min="12821" max="12821" width="28.5" style="72" customWidth="1"/>
    <col min="12822" max="12822" width="21" style="72" customWidth="1"/>
    <col min="12823" max="12823" width="17.5" style="72" customWidth="1"/>
    <col min="12824" max="12824" width="22.6640625" style="72" customWidth="1"/>
    <col min="12825" max="12825" width="17.1640625" style="72" customWidth="1"/>
    <col min="12826" max="12826" width="15.83203125" style="72" customWidth="1"/>
    <col min="12827" max="12827" width="15.5" style="72" customWidth="1"/>
    <col min="12828" max="12828" width="16" style="72" customWidth="1"/>
    <col min="12829" max="12829" width="9.1640625" style="72" customWidth="1"/>
    <col min="12830" max="12830" width="17.33203125" style="72" customWidth="1"/>
    <col min="12831" max="12831" width="16.5" style="72" bestFit="1" customWidth="1"/>
    <col min="12832" max="12832" width="10.83203125" style="72" bestFit="1" customWidth="1"/>
    <col min="12833" max="13069" width="9.1640625" style="72"/>
    <col min="13070" max="13070" width="29.33203125" style="72" customWidth="1"/>
    <col min="13071" max="13072" width="20.1640625" style="72" customWidth="1"/>
    <col min="13073" max="13074" width="17.1640625" style="72" customWidth="1"/>
    <col min="13075" max="13075" width="21.5" style="72" customWidth="1"/>
    <col min="13076" max="13076" width="18.33203125" style="72" customWidth="1"/>
    <col min="13077" max="13077" width="28.5" style="72" customWidth="1"/>
    <col min="13078" max="13078" width="21" style="72" customWidth="1"/>
    <col min="13079" max="13079" width="17.5" style="72" customWidth="1"/>
    <col min="13080" max="13080" width="22.6640625" style="72" customWidth="1"/>
    <col min="13081" max="13081" width="17.1640625" style="72" customWidth="1"/>
    <col min="13082" max="13082" width="15.83203125" style="72" customWidth="1"/>
    <col min="13083" max="13083" width="15.5" style="72" customWidth="1"/>
    <col min="13084" max="13084" width="16" style="72" customWidth="1"/>
    <col min="13085" max="13085" width="9.1640625" style="72" customWidth="1"/>
    <col min="13086" max="13086" width="17.33203125" style="72" customWidth="1"/>
    <col min="13087" max="13087" width="16.5" style="72" bestFit="1" customWidth="1"/>
    <col min="13088" max="13088" width="10.83203125" style="72" bestFit="1" customWidth="1"/>
    <col min="13089" max="13325" width="9.1640625" style="72"/>
    <col min="13326" max="13326" width="29.33203125" style="72" customWidth="1"/>
    <col min="13327" max="13328" width="20.1640625" style="72" customWidth="1"/>
    <col min="13329" max="13330" width="17.1640625" style="72" customWidth="1"/>
    <col min="13331" max="13331" width="21.5" style="72" customWidth="1"/>
    <col min="13332" max="13332" width="18.33203125" style="72" customWidth="1"/>
    <col min="13333" max="13333" width="28.5" style="72" customWidth="1"/>
    <col min="13334" max="13334" width="21" style="72" customWidth="1"/>
    <col min="13335" max="13335" width="17.5" style="72" customWidth="1"/>
    <col min="13336" max="13336" width="22.6640625" style="72" customWidth="1"/>
    <col min="13337" max="13337" width="17.1640625" style="72" customWidth="1"/>
    <col min="13338" max="13338" width="15.83203125" style="72" customWidth="1"/>
    <col min="13339" max="13339" width="15.5" style="72" customWidth="1"/>
    <col min="13340" max="13340" width="16" style="72" customWidth="1"/>
    <col min="13341" max="13341" width="9.1640625" style="72" customWidth="1"/>
    <col min="13342" max="13342" width="17.33203125" style="72" customWidth="1"/>
    <col min="13343" max="13343" width="16.5" style="72" bestFit="1" customWidth="1"/>
    <col min="13344" max="13344" width="10.83203125" style="72" bestFit="1" customWidth="1"/>
    <col min="13345" max="13581" width="9.1640625" style="72"/>
    <col min="13582" max="13582" width="29.33203125" style="72" customWidth="1"/>
    <col min="13583" max="13584" width="20.1640625" style="72" customWidth="1"/>
    <col min="13585" max="13586" width="17.1640625" style="72" customWidth="1"/>
    <col min="13587" max="13587" width="21.5" style="72" customWidth="1"/>
    <col min="13588" max="13588" width="18.33203125" style="72" customWidth="1"/>
    <col min="13589" max="13589" width="28.5" style="72" customWidth="1"/>
    <col min="13590" max="13590" width="21" style="72" customWidth="1"/>
    <col min="13591" max="13591" width="17.5" style="72" customWidth="1"/>
    <col min="13592" max="13592" width="22.6640625" style="72" customWidth="1"/>
    <col min="13593" max="13593" width="17.1640625" style="72" customWidth="1"/>
    <col min="13594" max="13594" width="15.83203125" style="72" customWidth="1"/>
    <col min="13595" max="13595" width="15.5" style="72" customWidth="1"/>
    <col min="13596" max="13596" width="16" style="72" customWidth="1"/>
    <col min="13597" max="13597" width="9.1640625" style="72" customWidth="1"/>
    <col min="13598" max="13598" width="17.33203125" style="72" customWidth="1"/>
    <col min="13599" max="13599" width="16.5" style="72" bestFit="1" customWidth="1"/>
    <col min="13600" max="13600" width="10.83203125" style="72" bestFit="1" customWidth="1"/>
    <col min="13601" max="13837" width="9.1640625" style="72"/>
    <col min="13838" max="13838" width="29.33203125" style="72" customWidth="1"/>
    <col min="13839" max="13840" width="20.1640625" style="72" customWidth="1"/>
    <col min="13841" max="13842" width="17.1640625" style="72" customWidth="1"/>
    <col min="13843" max="13843" width="21.5" style="72" customWidth="1"/>
    <col min="13844" max="13844" width="18.33203125" style="72" customWidth="1"/>
    <col min="13845" max="13845" width="28.5" style="72" customWidth="1"/>
    <col min="13846" max="13846" width="21" style="72" customWidth="1"/>
    <col min="13847" max="13847" width="17.5" style="72" customWidth="1"/>
    <col min="13848" max="13848" width="22.6640625" style="72" customWidth="1"/>
    <col min="13849" max="13849" width="17.1640625" style="72" customWidth="1"/>
    <col min="13850" max="13850" width="15.83203125" style="72" customWidth="1"/>
    <col min="13851" max="13851" width="15.5" style="72" customWidth="1"/>
    <col min="13852" max="13852" width="16" style="72" customWidth="1"/>
    <col min="13853" max="13853" width="9.1640625" style="72" customWidth="1"/>
    <col min="13854" max="13854" width="17.33203125" style="72" customWidth="1"/>
    <col min="13855" max="13855" width="16.5" style="72" bestFit="1" customWidth="1"/>
    <col min="13856" max="13856" width="10.83203125" style="72" bestFit="1" customWidth="1"/>
    <col min="13857" max="14093" width="9.1640625" style="72"/>
    <col min="14094" max="14094" width="29.33203125" style="72" customWidth="1"/>
    <col min="14095" max="14096" width="20.1640625" style="72" customWidth="1"/>
    <col min="14097" max="14098" width="17.1640625" style="72" customWidth="1"/>
    <col min="14099" max="14099" width="21.5" style="72" customWidth="1"/>
    <col min="14100" max="14100" width="18.33203125" style="72" customWidth="1"/>
    <col min="14101" max="14101" width="28.5" style="72" customWidth="1"/>
    <col min="14102" max="14102" width="21" style="72" customWidth="1"/>
    <col min="14103" max="14103" width="17.5" style="72" customWidth="1"/>
    <col min="14104" max="14104" width="22.6640625" style="72" customWidth="1"/>
    <col min="14105" max="14105" width="17.1640625" style="72" customWidth="1"/>
    <col min="14106" max="14106" width="15.83203125" style="72" customWidth="1"/>
    <col min="14107" max="14107" width="15.5" style="72" customWidth="1"/>
    <col min="14108" max="14108" width="16" style="72" customWidth="1"/>
    <col min="14109" max="14109" width="9.1640625" style="72" customWidth="1"/>
    <col min="14110" max="14110" width="17.33203125" style="72" customWidth="1"/>
    <col min="14111" max="14111" width="16.5" style="72" bestFit="1" customWidth="1"/>
    <col min="14112" max="14112" width="10.83203125" style="72" bestFit="1" customWidth="1"/>
    <col min="14113" max="14349" width="9.1640625" style="72"/>
    <col min="14350" max="14350" width="29.33203125" style="72" customWidth="1"/>
    <col min="14351" max="14352" width="20.1640625" style="72" customWidth="1"/>
    <col min="14353" max="14354" width="17.1640625" style="72" customWidth="1"/>
    <col min="14355" max="14355" width="21.5" style="72" customWidth="1"/>
    <col min="14356" max="14356" width="18.33203125" style="72" customWidth="1"/>
    <col min="14357" max="14357" width="28.5" style="72" customWidth="1"/>
    <col min="14358" max="14358" width="21" style="72" customWidth="1"/>
    <col min="14359" max="14359" width="17.5" style="72" customWidth="1"/>
    <col min="14360" max="14360" width="22.6640625" style="72" customWidth="1"/>
    <col min="14361" max="14361" width="17.1640625" style="72" customWidth="1"/>
    <col min="14362" max="14362" width="15.83203125" style="72" customWidth="1"/>
    <col min="14363" max="14363" width="15.5" style="72" customWidth="1"/>
    <col min="14364" max="14364" width="16" style="72" customWidth="1"/>
    <col min="14365" max="14365" width="9.1640625" style="72" customWidth="1"/>
    <col min="14366" max="14366" width="17.33203125" style="72" customWidth="1"/>
    <col min="14367" max="14367" width="16.5" style="72" bestFit="1" customWidth="1"/>
    <col min="14368" max="14368" width="10.83203125" style="72" bestFit="1" customWidth="1"/>
    <col min="14369" max="14605" width="9.1640625" style="72"/>
    <col min="14606" max="14606" width="29.33203125" style="72" customWidth="1"/>
    <col min="14607" max="14608" width="20.1640625" style="72" customWidth="1"/>
    <col min="14609" max="14610" width="17.1640625" style="72" customWidth="1"/>
    <col min="14611" max="14611" width="21.5" style="72" customWidth="1"/>
    <col min="14612" max="14612" width="18.33203125" style="72" customWidth="1"/>
    <col min="14613" max="14613" width="28.5" style="72" customWidth="1"/>
    <col min="14614" max="14614" width="21" style="72" customWidth="1"/>
    <col min="14615" max="14615" width="17.5" style="72" customWidth="1"/>
    <col min="14616" max="14616" width="22.6640625" style="72" customWidth="1"/>
    <col min="14617" max="14617" width="17.1640625" style="72" customWidth="1"/>
    <col min="14618" max="14618" width="15.83203125" style="72" customWidth="1"/>
    <col min="14619" max="14619" width="15.5" style="72" customWidth="1"/>
    <col min="14620" max="14620" width="16" style="72" customWidth="1"/>
    <col min="14621" max="14621" width="9.1640625" style="72" customWidth="1"/>
    <col min="14622" max="14622" width="17.33203125" style="72" customWidth="1"/>
    <col min="14623" max="14623" width="16.5" style="72" bestFit="1" customWidth="1"/>
    <col min="14624" max="14624" width="10.83203125" style="72" bestFit="1" customWidth="1"/>
    <col min="14625" max="14861" width="9.1640625" style="72"/>
    <col min="14862" max="14862" width="29.33203125" style="72" customWidth="1"/>
    <col min="14863" max="14864" width="20.1640625" style="72" customWidth="1"/>
    <col min="14865" max="14866" width="17.1640625" style="72" customWidth="1"/>
    <col min="14867" max="14867" width="21.5" style="72" customWidth="1"/>
    <col min="14868" max="14868" width="18.33203125" style="72" customWidth="1"/>
    <col min="14869" max="14869" width="28.5" style="72" customWidth="1"/>
    <col min="14870" max="14870" width="21" style="72" customWidth="1"/>
    <col min="14871" max="14871" width="17.5" style="72" customWidth="1"/>
    <col min="14872" max="14872" width="22.6640625" style="72" customWidth="1"/>
    <col min="14873" max="14873" width="17.1640625" style="72" customWidth="1"/>
    <col min="14874" max="14874" width="15.83203125" style="72" customWidth="1"/>
    <col min="14875" max="14875" width="15.5" style="72" customWidth="1"/>
    <col min="14876" max="14876" width="16" style="72" customWidth="1"/>
    <col min="14877" max="14877" width="9.1640625" style="72" customWidth="1"/>
    <col min="14878" max="14878" width="17.33203125" style="72" customWidth="1"/>
    <col min="14879" max="14879" width="16.5" style="72" bestFit="1" customWidth="1"/>
    <col min="14880" max="14880" width="10.83203125" style="72" bestFit="1" customWidth="1"/>
    <col min="14881" max="15117" width="9.1640625" style="72"/>
    <col min="15118" max="15118" width="29.33203125" style="72" customWidth="1"/>
    <col min="15119" max="15120" width="20.1640625" style="72" customWidth="1"/>
    <col min="15121" max="15122" width="17.1640625" style="72" customWidth="1"/>
    <col min="15123" max="15123" width="21.5" style="72" customWidth="1"/>
    <col min="15124" max="15124" width="18.33203125" style="72" customWidth="1"/>
    <col min="15125" max="15125" width="28.5" style="72" customWidth="1"/>
    <col min="15126" max="15126" width="21" style="72" customWidth="1"/>
    <col min="15127" max="15127" width="17.5" style="72" customWidth="1"/>
    <col min="15128" max="15128" width="22.6640625" style="72" customWidth="1"/>
    <col min="15129" max="15129" width="17.1640625" style="72" customWidth="1"/>
    <col min="15130" max="15130" width="15.83203125" style="72" customWidth="1"/>
    <col min="15131" max="15131" width="15.5" style="72" customWidth="1"/>
    <col min="15132" max="15132" width="16" style="72" customWidth="1"/>
    <col min="15133" max="15133" width="9.1640625" style="72" customWidth="1"/>
    <col min="15134" max="15134" width="17.33203125" style="72" customWidth="1"/>
    <col min="15135" max="15135" width="16.5" style="72" bestFit="1" customWidth="1"/>
    <col min="15136" max="15136" width="10.83203125" style="72" bestFit="1" customWidth="1"/>
    <col min="15137" max="15373" width="9.1640625" style="72"/>
    <col min="15374" max="15374" width="29.33203125" style="72" customWidth="1"/>
    <col min="15375" max="15376" width="20.1640625" style="72" customWidth="1"/>
    <col min="15377" max="15378" width="17.1640625" style="72" customWidth="1"/>
    <col min="15379" max="15379" width="21.5" style="72" customWidth="1"/>
    <col min="15380" max="15380" width="18.33203125" style="72" customWidth="1"/>
    <col min="15381" max="15381" width="28.5" style="72" customWidth="1"/>
    <col min="15382" max="15382" width="21" style="72" customWidth="1"/>
    <col min="15383" max="15383" width="17.5" style="72" customWidth="1"/>
    <col min="15384" max="15384" width="22.6640625" style="72" customWidth="1"/>
    <col min="15385" max="15385" width="17.1640625" style="72" customWidth="1"/>
    <col min="15386" max="15386" width="15.83203125" style="72" customWidth="1"/>
    <col min="15387" max="15387" width="15.5" style="72" customWidth="1"/>
    <col min="15388" max="15388" width="16" style="72" customWidth="1"/>
    <col min="15389" max="15389" width="9.1640625" style="72" customWidth="1"/>
    <col min="15390" max="15390" width="17.33203125" style="72" customWidth="1"/>
    <col min="15391" max="15391" width="16.5" style="72" bestFit="1" customWidth="1"/>
    <col min="15392" max="15392" width="10.83203125" style="72" bestFit="1" customWidth="1"/>
    <col min="15393" max="15629" width="9.1640625" style="72"/>
    <col min="15630" max="15630" width="29.33203125" style="72" customWidth="1"/>
    <col min="15631" max="15632" width="20.1640625" style="72" customWidth="1"/>
    <col min="15633" max="15634" width="17.1640625" style="72" customWidth="1"/>
    <col min="15635" max="15635" width="21.5" style="72" customWidth="1"/>
    <col min="15636" max="15636" width="18.33203125" style="72" customWidth="1"/>
    <col min="15637" max="15637" width="28.5" style="72" customWidth="1"/>
    <col min="15638" max="15638" width="21" style="72" customWidth="1"/>
    <col min="15639" max="15639" width="17.5" style="72" customWidth="1"/>
    <col min="15640" max="15640" width="22.6640625" style="72" customWidth="1"/>
    <col min="15641" max="15641" width="17.1640625" style="72" customWidth="1"/>
    <col min="15642" max="15642" width="15.83203125" style="72" customWidth="1"/>
    <col min="15643" max="15643" width="15.5" style="72" customWidth="1"/>
    <col min="15644" max="15644" width="16" style="72" customWidth="1"/>
    <col min="15645" max="15645" width="9.1640625" style="72" customWidth="1"/>
    <col min="15646" max="15646" width="17.33203125" style="72" customWidth="1"/>
    <col min="15647" max="15647" width="16.5" style="72" bestFit="1" customWidth="1"/>
    <col min="15648" max="15648" width="10.83203125" style="72" bestFit="1" customWidth="1"/>
    <col min="15649" max="15885" width="9.1640625" style="72"/>
    <col min="15886" max="15886" width="29.33203125" style="72" customWidth="1"/>
    <col min="15887" max="15888" width="20.1640625" style="72" customWidth="1"/>
    <col min="15889" max="15890" width="17.1640625" style="72" customWidth="1"/>
    <col min="15891" max="15891" width="21.5" style="72" customWidth="1"/>
    <col min="15892" max="15892" width="18.33203125" style="72" customWidth="1"/>
    <col min="15893" max="15893" width="28.5" style="72" customWidth="1"/>
    <col min="15894" max="15894" width="21" style="72" customWidth="1"/>
    <col min="15895" max="15895" width="17.5" style="72" customWidth="1"/>
    <col min="15896" max="15896" width="22.6640625" style="72" customWidth="1"/>
    <col min="15897" max="15897" width="17.1640625" style="72" customWidth="1"/>
    <col min="15898" max="15898" width="15.83203125" style="72" customWidth="1"/>
    <col min="15899" max="15899" width="15.5" style="72" customWidth="1"/>
    <col min="15900" max="15900" width="16" style="72" customWidth="1"/>
    <col min="15901" max="15901" width="9.1640625" style="72" customWidth="1"/>
    <col min="15902" max="15902" width="17.33203125" style="72" customWidth="1"/>
    <col min="15903" max="15903" width="16.5" style="72" bestFit="1" customWidth="1"/>
    <col min="15904" max="15904" width="10.83203125" style="72" bestFit="1" customWidth="1"/>
    <col min="15905" max="16141" width="9.1640625" style="72"/>
    <col min="16142" max="16142" width="29.33203125" style="72" customWidth="1"/>
    <col min="16143" max="16144" width="20.1640625" style="72" customWidth="1"/>
    <col min="16145" max="16146" width="17.1640625" style="72" customWidth="1"/>
    <col min="16147" max="16147" width="21.5" style="72" customWidth="1"/>
    <col min="16148" max="16148" width="18.33203125" style="72" customWidth="1"/>
    <col min="16149" max="16149" width="28.5" style="72" customWidth="1"/>
    <col min="16150" max="16150" width="21" style="72" customWidth="1"/>
    <col min="16151" max="16151" width="17.5" style="72" customWidth="1"/>
    <col min="16152" max="16152" width="22.6640625" style="72" customWidth="1"/>
    <col min="16153" max="16153" width="17.1640625" style="72" customWidth="1"/>
    <col min="16154" max="16154" width="15.83203125" style="72" customWidth="1"/>
    <col min="16155" max="16155" width="15.5" style="72" customWidth="1"/>
    <col min="16156" max="16156" width="16" style="72" customWidth="1"/>
    <col min="16157" max="16157" width="9.1640625" style="72" customWidth="1"/>
    <col min="16158" max="16158" width="17.33203125" style="72" customWidth="1"/>
    <col min="16159" max="16159" width="16.5" style="72" bestFit="1" customWidth="1"/>
    <col min="16160" max="16160" width="10.83203125" style="72" bestFit="1" customWidth="1"/>
    <col min="16161" max="16384" width="9.1640625" style="72"/>
  </cols>
  <sheetData>
    <row r="1" spans="1:269" ht="17">
      <c r="A1" s="294" t="s">
        <v>81</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c r="IW1" s="25"/>
      <c r="IX1" s="25"/>
      <c r="IY1" s="25"/>
      <c r="IZ1" s="25"/>
      <c r="JA1" s="25"/>
      <c r="JB1" s="25"/>
      <c r="JC1" s="25"/>
      <c r="JD1" s="25"/>
      <c r="JE1" s="25"/>
      <c r="JF1" s="25"/>
      <c r="JG1" s="25"/>
      <c r="JH1" s="25"/>
      <c r="JI1" s="25"/>
    </row>
    <row r="2" spans="1:269" ht="17">
      <c r="A2" s="295" t="s">
        <v>151</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c r="JA2" s="25"/>
      <c r="JB2" s="25"/>
      <c r="JC2" s="25"/>
      <c r="JD2" s="25"/>
      <c r="JE2" s="25"/>
      <c r="JF2" s="25"/>
      <c r="JG2" s="25"/>
      <c r="JH2" s="25"/>
      <c r="JI2" s="25"/>
    </row>
    <row r="3" spans="1:269" ht="15">
      <c r="A3" s="296" t="s">
        <v>181</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c r="IW3" s="26"/>
      <c r="IX3" s="26"/>
      <c r="IY3" s="26"/>
      <c r="IZ3" s="26"/>
      <c r="JA3" s="26"/>
      <c r="JB3" s="26"/>
      <c r="JC3" s="26"/>
      <c r="JD3" s="26"/>
      <c r="JE3" s="26"/>
      <c r="JF3" s="26"/>
      <c r="JG3" s="26"/>
      <c r="JH3" s="26"/>
      <c r="JI3" s="26"/>
    </row>
    <row r="4" spans="1:269">
      <c r="A4" s="29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c r="JA4" s="26"/>
      <c r="JB4" s="26"/>
      <c r="JC4" s="26"/>
      <c r="JD4" s="26"/>
      <c r="JE4" s="26"/>
      <c r="JF4" s="26"/>
      <c r="JG4" s="26"/>
      <c r="JH4" s="26"/>
      <c r="JI4" s="26"/>
    </row>
    <row r="5" spans="1:269">
      <c r="A5" s="27"/>
      <c r="B5" s="27"/>
      <c r="C5" s="298" t="s">
        <v>82</v>
      </c>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row>
    <row r="6" spans="1:269" ht="14">
      <c r="A6" s="27"/>
      <c r="B6" s="27"/>
      <c r="C6" s="28" t="s">
        <v>83</v>
      </c>
      <c r="D6" s="55"/>
      <c r="E6" s="28" t="s">
        <v>84</v>
      </c>
      <c r="F6" s="55"/>
      <c r="G6" s="28" t="s">
        <v>85</v>
      </c>
      <c r="H6" s="55"/>
      <c r="I6" s="28" t="s">
        <v>118</v>
      </c>
      <c r="J6" s="55"/>
      <c r="K6" s="28" t="s">
        <v>86</v>
      </c>
      <c r="L6" s="55"/>
      <c r="M6" s="28" t="s">
        <v>87</v>
      </c>
      <c r="N6" s="55"/>
      <c r="O6" s="28" t="s">
        <v>88</v>
      </c>
      <c r="P6" s="55"/>
      <c r="Q6" s="28" t="s">
        <v>89</v>
      </c>
      <c r="R6" s="55"/>
      <c r="S6" s="28" t="s">
        <v>90</v>
      </c>
      <c r="T6" s="55"/>
      <c r="U6" s="299"/>
      <c r="V6" s="299"/>
      <c r="W6" s="299"/>
      <c r="X6" s="179"/>
      <c r="Y6" s="299"/>
      <c r="Z6" s="299"/>
      <c r="AA6" s="179"/>
      <c r="AB6" s="29"/>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row>
    <row r="7" spans="1:269" ht="14">
      <c r="A7" s="27"/>
      <c r="B7" s="27"/>
      <c r="C7" s="30"/>
      <c r="D7" s="30"/>
      <c r="E7" s="30"/>
      <c r="F7" s="30"/>
      <c r="G7" s="30"/>
      <c r="H7" s="30"/>
      <c r="I7" s="30"/>
      <c r="J7" s="30"/>
      <c r="K7" s="30"/>
      <c r="L7" s="30"/>
      <c r="M7" s="30"/>
      <c r="N7" s="30"/>
      <c r="O7" s="30"/>
      <c r="P7" s="30"/>
      <c r="Q7" s="30"/>
      <c r="R7" s="30"/>
      <c r="S7" s="30"/>
      <c r="T7" s="30"/>
      <c r="U7" s="292"/>
      <c r="V7" s="292"/>
      <c r="W7" s="293"/>
      <c r="X7" s="178"/>
      <c r="Y7" s="57"/>
      <c r="Z7" s="57"/>
      <c r="AA7" s="58"/>
      <c r="AB7" s="31"/>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row>
    <row r="8" spans="1:269">
      <c r="A8" s="32"/>
      <c r="B8" s="32" t="s">
        <v>202</v>
      </c>
      <c r="C8" s="33" t="s">
        <v>91</v>
      </c>
      <c r="D8" s="33" t="s">
        <v>203</v>
      </c>
      <c r="E8" s="33" t="s">
        <v>92</v>
      </c>
      <c r="F8" s="33" t="s">
        <v>204</v>
      </c>
      <c r="G8" s="33" t="s">
        <v>93</v>
      </c>
      <c r="H8" s="33" t="s">
        <v>205</v>
      </c>
      <c r="I8" s="33" t="s">
        <v>116</v>
      </c>
      <c r="J8" s="33">
        <v>5310</v>
      </c>
      <c r="K8" s="33" t="s">
        <v>94</v>
      </c>
      <c r="L8" s="33">
        <v>5311</v>
      </c>
      <c r="M8" s="33" t="s">
        <v>95</v>
      </c>
      <c r="N8" s="33" t="s">
        <v>207</v>
      </c>
      <c r="O8" s="33"/>
      <c r="P8" s="33" t="s">
        <v>208</v>
      </c>
      <c r="Q8" s="33" t="s">
        <v>96</v>
      </c>
      <c r="R8" s="33" t="s">
        <v>209</v>
      </c>
      <c r="S8" s="33" t="s">
        <v>97</v>
      </c>
      <c r="T8" s="33" t="s">
        <v>210</v>
      </c>
      <c r="U8" s="33" t="s">
        <v>131</v>
      </c>
      <c r="V8" s="33" t="s">
        <v>211</v>
      </c>
      <c r="W8" s="47" t="s">
        <v>129</v>
      </c>
      <c r="X8" s="33">
        <v>5339</v>
      </c>
      <c r="Y8" s="33" t="s">
        <v>98</v>
      </c>
      <c r="Z8" s="33" t="s">
        <v>135</v>
      </c>
      <c r="AA8" s="47"/>
      <c r="AB8" s="33"/>
    </row>
    <row r="9" spans="1:269" ht="12" thickBot="1">
      <c r="A9" s="35" t="s">
        <v>35</v>
      </c>
      <c r="B9" s="35" t="s">
        <v>170</v>
      </c>
      <c r="C9" s="35" t="s">
        <v>99</v>
      </c>
      <c r="D9" s="35" t="s">
        <v>170</v>
      </c>
      <c r="E9" s="35" t="s">
        <v>99</v>
      </c>
      <c r="F9" s="35" t="s">
        <v>170</v>
      </c>
      <c r="G9" s="35" t="s">
        <v>100</v>
      </c>
      <c r="H9" s="35" t="s">
        <v>206</v>
      </c>
      <c r="I9" s="35" t="s">
        <v>117</v>
      </c>
      <c r="J9" s="35" t="s">
        <v>170</v>
      </c>
      <c r="K9" s="35" t="s">
        <v>101</v>
      </c>
      <c r="L9" s="35" t="s">
        <v>170</v>
      </c>
      <c r="M9" s="35" t="s">
        <v>100</v>
      </c>
      <c r="N9" s="35" t="s">
        <v>170</v>
      </c>
      <c r="O9" s="35" t="s">
        <v>102</v>
      </c>
      <c r="P9" s="35" t="s">
        <v>170</v>
      </c>
      <c r="Q9" s="35" t="s">
        <v>103</v>
      </c>
      <c r="R9" s="35" t="s">
        <v>170</v>
      </c>
      <c r="S9" s="35" t="s">
        <v>100</v>
      </c>
      <c r="T9" s="35" t="s">
        <v>170</v>
      </c>
      <c r="U9" s="49" t="s">
        <v>132</v>
      </c>
      <c r="V9" s="49" t="s">
        <v>170</v>
      </c>
      <c r="W9" s="50" t="s">
        <v>130</v>
      </c>
      <c r="X9" s="180" t="s">
        <v>170</v>
      </c>
      <c r="Y9" s="59" t="s">
        <v>104</v>
      </c>
      <c r="Z9" s="59" t="s">
        <v>136</v>
      </c>
      <c r="AA9" s="60" t="s">
        <v>134</v>
      </c>
      <c r="AB9" s="36" t="s">
        <v>105</v>
      </c>
    </row>
    <row r="10" spans="1:269" ht="14">
      <c r="A10" s="37" t="s">
        <v>119</v>
      </c>
      <c r="B10" s="181">
        <v>7.9711663341292937E-3</v>
      </c>
      <c r="C10" s="73">
        <f>B10*C$67</f>
        <v>912524.1807926324</v>
      </c>
      <c r="D10" s="181">
        <v>9.96271570851044E-3</v>
      </c>
      <c r="E10" s="73">
        <f>D10*E$67</f>
        <v>238250.30209531967</v>
      </c>
      <c r="F10" s="101">
        <v>4.8259036904069489E-3</v>
      </c>
      <c r="G10" s="73">
        <f>F10*G$67</f>
        <v>25164883.410571799</v>
      </c>
      <c r="H10" s="181">
        <v>0</v>
      </c>
      <c r="I10" s="73">
        <f>H10*I$67</f>
        <v>0</v>
      </c>
      <c r="J10" s="181">
        <v>1.6315215757817386E-2</v>
      </c>
      <c r="K10" s="73">
        <f>J10*K$67</f>
        <v>4539675.4592541019</v>
      </c>
      <c r="L10" s="181">
        <v>2.4865538558265274E-2</v>
      </c>
      <c r="M10" s="73">
        <f>L10*M$67</f>
        <v>16694461.686160875</v>
      </c>
      <c r="N10" s="181">
        <v>2.4918263900083122E-2</v>
      </c>
      <c r="O10" s="73">
        <f>N10*O$67</f>
        <v>279295.72599620715</v>
      </c>
      <c r="P10" s="181">
        <v>0.25</v>
      </c>
      <c r="Q10" s="73">
        <f>P10*Q$67</f>
        <v>5000000</v>
      </c>
      <c r="R10" s="181">
        <v>7.4399999999999999E-6</v>
      </c>
      <c r="S10" s="73">
        <f>R10*S$67</f>
        <v>223.2</v>
      </c>
      <c r="T10" s="181">
        <v>0</v>
      </c>
      <c r="U10" s="73">
        <f>T10*U$67</f>
        <v>0</v>
      </c>
      <c r="V10" s="181">
        <v>0</v>
      </c>
      <c r="W10" s="73">
        <f>V10*W$67</f>
        <v>0</v>
      </c>
      <c r="X10" s="181">
        <v>6.6822055093737117E-3</v>
      </c>
      <c r="Y10" s="73">
        <f>X10*Y$67</f>
        <v>2396484.836737779</v>
      </c>
      <c r="Z10" s="73">
        <v>1750000</v>
      </c>
      <c r="AA10" s="73">
        <f>SUM(Y10+Z10)</f>
        <v>4146484.836737779</v>
      </c>
      <c r="AB10" s="74">
        <f>SUM(C10+E10+G10+I10+K10+M10+O10+Q10+S10+U10+W10+AA10)</f>
        <v>56975798.801608719</v>
      </c>
    </row>
    <row r="11" spans="1:269" ht="14">
      <c r="A11" s="37" t="s">
        <v>36</v>
      </c>
      <c r="B11" s="181">
        <v>4.0000007882070787E-3</v>
      </c>
      <c r="C11" s="73">
        <f t="shared" ref="C11:E26" si="0">B11*C$67</f>
        <v>457912.59264034108</v>
      </c>
      <c r="D11" s="181">
        <v>4.9997117070213551E-3</v>
      </c>
      <c r="E11" s="73">
        <f t="shared" si="0"/>
        <v>119564.06861733507</v>
      </c>
      <c r="F11" s="101">
        <v>3.3768966868039534E-3</v>
      </c>
      <c r="G11" s="73">
        <f t="shared" ref="G11:G66" si="1">F11*G$67</f>
        <v>17608973.751774505</v>
      </c>
      <c r="H11" s="181">
        <v>0</v>
      </c>
      <c r="I11" s="73">
        <f t="shared" ref="I11:I66" si="2">H11*I$67</f>
        <v>0</v>
      </c>
      <c r="J11" s="181">
        <v>1.491093776850769E-3</v>
      </c>
      <c r="K11" s="73">
        <f t="shared" ref="K11:K66" si="3">J11*K$67</f>
        <v>414893.79770981963</v>
      </c>
      <c r="L11" s="181">
        <v>1.3105234556647527E-2</v>
      </c>
      <c r="M11" s="73">
        <f t="shared" ref="M11:M66" si="4">L11*M$67</f>
        <v>8798716.9745567348</v>
      </c>
      <c r="N11" s="181">
        <v>9.1444190186806655E-3</v>
      </c>
      <c r="O11" s="73">
        <f t="shared" ref="O11:O66" si="5">N11*O$67</f>
        <v>102494.9875672286</v>
      </c>
      <c r="P11" s="181">
        <v>0</v>
      </c>
      <c r="Q11" s="73">
        <f t="shared" ref="Q11:Q66" si="6">P11*Q$67</f>
        <v>0</v>
      </c>
      <c r="R11" s="181">
        <v>1.486264E-2</v>
      </c>
      <c r="S11" s="73">
        <f t="shared" ref="S11:S66" si="7">R11*S$67</f>
        <v>445879.2</v>
      </c>
      <c r="T11" s="181">
        <v>9.5512672463014606E-3</v>
      </c>
      <c r="U11" s="73">
        <f t="shared" ref="U11:U66" si="8">T11*U$67</f>
        <v>24229556.703120261</v>
      </c>
      <c r="V11" s="181">
        <v>0</v>
      </c>
      <c r="W11" s="73">
        <f t="shared" ref="W11:W66" si="9">V11*W$67</f>
        <v>0</v>
      </c>
      <c r="X11" s="181">
        <v>1.7484020858619534E-3</v>
      </c>
      <c r="Y11" s="73">
        <f t="shared" ref="Y11:Y66" si="10">X11*Y$67</f>
        <v>627041.33858367137</v>
      </c>
      <c r="Z11" s="73">
        <v>1750000</v>
      </c>
      <c r="AA11" s="73">
        <f t="shared" ref="AA11:AA67" si="11">SUM(Y11+Z11)</f>
        <v>2377041.3385836715</v>
      </c>
      <c r="AB11" s="74">
        <f t="shared" ref="AB11:AB66" si="12">SUM(C11+E11+G11+I11+K11+M11+O11+Q11+S11+U11+W11+AA11)</f>
        <v>54555033.414569892</v>
      </c>
    </row>
    <row r="12" spans="1:269" ht="14">
      <c r="A12" s="37" t="s">
        <v>37</v>
      </c>
      <c r="B12" s="181">
        <v>0</v>
      </c>
      <c r="C12" s="73">
        <f t="shared" si="0"/>
        <v>0</v>
      </c>
      <c r="D12" s="181">
        <v>0</v>
      </c>
      <c r="E12" s="73">
        <f t="shared" si="0"/>
        <v>0</v>
      </c>
      <c r="F12" s="101"/>
      <c r="G12" s="73">
        <f t="shared" si="1"/>
        <v>0</v>
      </c>
      <c r="H12" s="181">
        <v>0</v>
      </c>
      <c r="I12" s="73">
        <f t="shared" si="2"/>
        <v>0</v>
      </c>
      <c r="J12" s="181">
        <v>4.6351986780385408E-5</v>
      </c>
      <c r="K12" s="73">
        <f t="shared" si="3"/>
        <v>12897.34564336133</v>
      </c>
      <c r="L12" s="181">
        <v>4.8549207305702193E-4</v>
      </c>
      <c r="M12" s="73">
        <f t="shared" si="4"/>
        <v>325954.28382109856</v>
      </c>
      <c r="N12" s="181">
        <v>1.3672066184407269E-3</v>
      </c>
      <c r="O12" s="73">
        <f t="shared" si="5"/>
        <v>15324.300545791571</v>
      </c>
      <c r="P12" s="181">
        <v>0</v>
      </c>
      <c r="Q12" s="73">
        <f t="shared" si="6"/>
        <v>0</v>
      </c>
      <c r="R12" s="181">
        <v>0</v>
      </c>
      <c r="S12" s="73">
        <f t="shared" si="7"/>
        <v>0</v>
      </c>
      <c r="T12" s="181">
        <v>0</v>
      </c>
      <c r="U12" s="73">
        <f t="shared" si="8"/>
        <v>0</v>
      </c>
      <c r="V12" s="181">
        <v>0</v>
      </c>
      <c r="W12" s="73">
        <f t="shared" si="9"/>
        <v>0</v>
      </c>
      <c r="X12" s="181">
        <v>0</v>
      </c>
      <c r="Y12" s="73">
        <f t="shared" si="10"/>
        <v>0</v>
      </c>
      <c r="Z12" s="73">
        <v>500000</v>
      </c>
      <c r="AA12" s="73">
        <f t="shared" si="11"/>
        <v>500000</v>
      </c>
      <c r="AB12" s="74">
        <f t="shared" si="12"/>
        <v>854175.93001025147</v>
      </c>
    </row>
    <row r="13" spans="1:269" ht="14">
      <c r="A13" s="37" t="s">
        <v>38</v>
      </c>
      <c r="B13" s="181">
        <v>2.2963024483429021E-2</v>
      </c>
      <c r="C13" s="73">
        <f t="shared" si="0"/>
        <v>2628764.0010150545</v>
      </c>
      <c r="D13" s="181">
        <v>2.192702708919549E-2</v>
      </c>
      <c r="E13" s="73">
        <f t="shared" si="0"/>
        <v>524367.14856677968</v>
      </c>
      <c r="F13" s="101">
        <v>1.5408364228425807E-2</v>
      </c>
      <c r="G13" s="73">
        <f t="shared" si="1"/>
        <v>80347581.350771457</v>
      </c>
      <c r="H13" s="181">
        <v>1.9249055207293687E-2</v>
      </c>
      <c r="I13" s="73">
        <f t="shared" si="2"/>
        <v>464587.26646775217</v>
      </c>
      <c r="J13" s="181">
        <v>2.1649520004863424E-2</v>
      </c>
      <c r="K13" s="73">
        <f t="shared" si="3"/>
        <v>6023934.7201778684</v>
      </c>
      <c r="L13" s="181">
        <v>1.8772658238577274E-2</v>
      </c>
      <c r="M13" s="73">
        <f t="shared" si="4"/>
        <v>12603765.769116914</v>
      </c>
      <c r="N13" s="181">
        <v>1.5881058300075662E-2</v>
      </c>
      <c r="O13" s="73">
        <f t="shared" si="5"/>
        <v>178002.43730033407</v>
      </c>
      <c r="P13" s="181">
        <v>0</v>
      </c>
      <c r="Q13" s="73">
        <f t="shared" si="6"/>
        <v>0</v>
      </c>
      <c r="R13" s="181">
        <v>6.1556680000000003E-2</v>
      </c>
      <c r="S13" s="73">
        <f t="shared" si="7"/>
        <v>1846700.4000000001</v>
      </c>
      <c r="T13" s="181">
        <v>1.6379387401513619E-4</v>
      </c>
      <c r="U13" s="73">
        <f t="shared" si="8"/>
        <v>415510.61819679069</v>
      </c>
      <c r="V13" s="181">
        <v>3.5917393987930465E-2</v>
      </c>
      <c r="W13" s="73">
        <f t="shared" si="9"/>
        <v>2700752.965524591</v>
      </c>
      <c r="X13" s="181">
        <v>2.097246110336427E-2</v>
      </c>
      <c r="Y13" s="73">
        <f t="shared" si="10"/>
        <v>7521496.4509518603</v>
      </c>
      <c r="Z13" s="73">
        <v>1750000</v>
      </c>
      <c r="AA13" s="73">
        <f t="shared" si="11"/>
        <v>9271496.4509518594</v>
      </c>
      <c r="AB13" s="74">
        <f t="shared" si="12"/>
        <v>117005463.1280894</v>
      </c>
    </row>
    <row r="14" spans="1:269" ht="14">
      <c r="A14" s="37" t="s">
        <v>39</v>
      </c>
      <c r="B14" s="181">
        <v>4.0120678632407049E-3</v>
      </c>
      <c r="C14" s="73">
        <f t="shared" si="0"/>
        <v>459294.00877168891</v>
      </c>
      <c r="D14" s="181">
        <v>5.0578940750053217E-3</v>
      </c>
      <c r="E14" s="73">
        <f t="shared" si="0"/>
        <v>120955.45297019377</v>
      </c>
      <c r="F14" s="101">
        <v>2.5903798955079281E-3</v>
      </c>
      <c r="G14" s="73">
        <f t="shared" si="1"/>
        <v>13507647.943560442</v>
      </c>
      <c r="H14" s="181">
        <v>1.0108082042770793E-2</v>
      </c>
      <c r="I14" s="73">
        <f t="shared" si="2"/>
        <v>243964.50396709621</v>
      </c>
      <c r="J14" s="181">
        <v>9.6485773668725031E-3</v>
      </c>
      <c r="K14" s="73">
        <f t="shared" si="3"/>
        <v>2684696.9442079458</v>
      </c>
      <c r="L14" s="181">
        <v>1.9342063440129797E-2</v>
      </c>
      <c r="M14" s="73">
        <f t="shared" si="4"/>
        <v>12986058.446950734</v>
      </c>
      <c r="N14" s="181">
        <v>1.962438937577201E-2</v>
      </c>
      <c r="O14" s="73">
        <f t="shared" si="5"/>
        <v>219959.46828062186</v>
      </c>
      <c r="P14" s="181">
        <v>0</v>
      </c>
      <c r="Q14" s="73">
        <f t="shared" si="6"/>
        <v>0</v>
      </c>
      <c r="R14" s="181">
        <v>0</v>
      </c>
      <c r="S14" s="73">
        <f t="shared" si="7"/>
        <v>0</v>
      </c>
      <c r="T14" s="181">
        <v>1.3194527133410033E-4</v>
      </c>
      <c r="U14" s="73">
        <f t="shared" si="8"/>
        <v>334717.40985324618</v>
      </c>
      <c r="V14" s="181">
        <v>0</v>
      </c>
      <c r="W14" s="73">
        <f t="shared" si="9"/>
        <v>0</v>
      </c>
      <c r="X14" s="181">
        <v>3.5652069485110883E-3</v>
      </c>
      <c r="Y14" s="73">
        <f t="shared" si="10"/>
        <v>1278614.4305130434</v>
      </c>
      <c r="Z14" s="73">
        <v>1750000</v>
      </c>
      <c r="AA14" s="73">
        <f t="shared" si="11"/>
        <v>3028614.4305130434</v>
      </c>
      <c r="AB14" s="74">
        <f t="shared" si="12"/>
        <v>33585908.60907501</v>
      </c>
    </row>
    <row r="15" spans="1:269" ht="14">
      <c r="A15" s="37" t="s">
        <v>120</v>
      </c>
      <c r="B15" s="181">
        <v>0.14999529093187744</v>
      </c>
      <c r="C15" s="73">
        <f t="shared" si="0"/>
        <v>17171179.755003203</v>
      </c>
      <c r="D15" s="181">
        <v>0.14322024173748177</v>
      </c>
      <c r="E15" s="73">
        <f t="shared" si="0"/>
        <v>3424996.4425835735</v>
      </c>
      <c r="F15" s="101">
        <v>0.16094377996919099</v>
      </c>
      <c r="G15" s="73">
        <f t="shared" si="1"/>
        <v>839248298.01978099</v>
      </c>
      <c r="H15" s="181">
        <v>0.12745203144449554</v>
      </c>
      <c r="I15" s="73">
        <f t="shared" si="2"/>
        <v>3076129.7246487117</v>
      </c>
      <c r="J15" s="181">
        <v>0.11037559666627997</v>
      </c>
      <c r="K15" s="73">
        <f t="shared" si="3"/>
        <v>30711784.319882754</v>
      </c>
      <c r="L15" s="181">
        <v>4.4515647849891996E-2</v>
      </c>
      <c r="M15" s="73">
        <f t="shared" si="4"/>
        <v>29887338.88563313</v>
      </c>
      <c r="N15" s="181">
        <v>3.5422917838626472E-2</v>
      </c>
      <c r="O15" s="73">
        <f t="shared" si="5"/>
        <v>397036.87200335716</v>
      </c>
      <c r="P15" s="181">
        <v>0</v>
      </c>
      <c r="Q15" s="73">
        <f t="shared" si="6"/>
        <v>0</v>
      </c>
      <c r="R15" s="181">
        <v>2.1273799999999999E-2</v>
      </c>
      <c r="S15" s="73">
        <f t="shared" si="7"/>
        <v>638214</v>
      </c>
      <c r="T15" s="181">
        <v>0.15402670095211823</v>
      </c>
      <c r="U15" s="73">
        <f t="shared" si="8"/>
        <v>390733353.83417726</v>
      </c>
      <c r="V15" s="181">
        <v>0.23946784383828837</v>
      </c>
      <c r="W15" s="73">
        <f t="shared" si="9"/>
        <v>18006414.652782604</v>
      </c>
      <c r="X15" s="181">
        <v>0.18084132050311938</v>
      </c>
      <c r="Y15" s="73">
        <f t="shared" si="10"/>
        <v>64856353.464947708</v>
      </c>
      <c r="Z15" s="73">
        <v>1750000</v>
      </c>
      <c r="AA15" s="73">
        <f t="shared" si="11"/>
        <v>66606353.464947708</v>
      </c>
      <c r="AB15" s="74">
        <f t="shared" si="12"/>
        <v>1399901099.9714434</v>
      </c>
    </row>
    <row r="16" spans="1:269" ht="14">
      <c r="A16" s="37" t="s">
        <v>40</v>
      </c>
      <c r="B16" s="181">
        <v>1.6796176752772441E-2</v>
      </c>
      <c r="C16" s="73">
        <f t="shared" si="0"/>
        <v>1922794.8319367392</v>
      </c>
      <c r="D16" s="181">
        <v>1.6561547757488731E-2</v>
      </c>
      <c r="E16" s="73">
        <f t="shared" si="0"/>
        <v>396056.04253237328</v>
      </c>
      <c r="F16" s="101">
        <v>1.524685129010875E-2</v>
      </c>
      <c r="G16" s="73">
        <f t="shared" si="1"/>
        <v>79505365.151942819</v>
      </c>
      <c r="H16" s="181">
        <v>2.3645767216534153E-2</v>
      </c>
      <c r="I16" s="73">
        <f t="shared" si="2"/>
        <v>570704.49621339596</v>
      </c>
      <c r="J16" s="181">
        <v>1.445304974089418E-2</v>
      </c>
      <c r="K16" s="73">
        <f t="shared" si="3"/>
        <v>4021531.5686939843</v>
      </c>
      <c r="L16" s="181">
        <v>1.7796227792132299E-2</v>
      </c>
      <c r="M16" s="73">
        <f t="shared" si="4"/>
        <v>11948200.612577878</v>
      </c>
      <c r="N16" s="181">
        <v>1.5034844832129506E-2</v>
      </c>
      <c r="O16" s="73">
        <f t="shared" si="5"/>
        <v>168517.67520673567</v>
      </c>
      <c r="P16" s="181">
        <v>0</v>
      </c>
      <c r="Q16" s="73">
        <f t="shared" si="6"/>
        <v>0</v>
      </c>
      <c r="R16" s="181">
        <v>6.0998399999999996E-3</v>
      </c>
      <c r="S16" s="73">
        <f t="shared" si="7"/>
        <v>182995.19999999998</v>
      </c>
      <c r="T16" s="181">
        <v>5.7583806875257772E-3</v>
      </c>
      <c r="U16" s="73">
        <f t="shared" si="8"/>
        <v>14607801.016204</v>
      </c>
      <c r="V16" s="181">
        <v>5.8797861897210112E-3</v>
      </c>
      <c r="W16" s="73">
        <f t="shared" si="9"/>
        <v>442121.44104540983</v>
      </c>
      <c r="X16" s="181">
        <v>1.8746202980253302E-2</v>
      </c>
      <c r="Y16" s="73">
        <f t="shared" si="10"/>
        <v>6723078.349740277</v>
      </c>
      <c r="Z16" s="73">
        <v>1750000</v>
      </c>
      <c r="AA16" s="73">
        <f t="shared" si="11"/>
        <v>8473078.349740278</v>
      </c>
      <c r="AB16" s="74">
        <f t="shared" si="12"/>
        <v>122239166.3860936</v>
      </c>
    </row>
    <row r="17" spans="1:28" ht="14">
      <c r="A17" s="37" t="s">
        <v>121</v>
      </c>
      <c r="B17" s="181">
        <v>1.039382400719055E-2</v>
      </c>
      <c r="C17" s="73">
        <f t="shared" si="0"/>
        <v>1189865.4901799106</v>
      </c>
      <c r="D17" s="181">
        <v>1.299046852344804E-2</v>
      </c>
      <c r="E17" s="73">
        <f t="shared" si="0"/>
        <v>310656.56600312429</v>
      </c>
      <c r="F17" s="101">
        <v>1.9176519605688964E-2</v>
      </c>
      <c r="G17" s="73">
        <f t="shared" si="1"/>
        <v>99996790.457501546</v>
      </c>
      <c r="H17" s="181">
        <v>0</v>
      </c>
      <c r="I17" s="73">
        <f t="shared" si="2"/>
        <v>0</v>
      </c>
      <c r="J17" s="181">
        <v>1.2257063193736872E-2</v>
      </c>
      <c r="K17" s="73">
        <f t="shared" si="3"/>
        <v>3410502.7974559739</v>
      </c>
      <c r="L17" s="181">
        <v>4.7533734259735221E-3</v>
      </c>
      <c r="M17" s="73">
        <f t="shared" si="4"/>
        <v>3191365.0433906536</v>
      </c>
      <c r="N17" s="181">
        <v>1.0274964734039592E-2</v>
      </c>
      <c r="O17" s="73">
        <f t="shared" si="5"/>
        <v>115166.68041104745</v>
      </c>
      <c r="P17" s="181">
        <v>0</v>
      </c>
      <c r="Q17" s="73">
        <f t="shared" si="6"/>
        <v>0</v>
      </c>
      <c r="R17" s="181">
        <v>0</v>
      </c>
      <c r="S17" s="73">
        <f t="shared" si="7"/>
        <v>0</v>
      </c>
      <c r="T17" s="181">
        <v>2.3813321659182454E-2</v>
      </c>
      <c r="U17" s="73">
        <f t="shared" si="8"/>
        <v>60409389.932443745</v>
      </c>
      <c r="V17" s="181">
        <v>1.362787675756468E-2</v>
      </c>
      <c r="W17" s="73">
        <f t="shared" si="9"/>
        <v>1024727.1441565176</v>
      </c>
      <c r="X17" s="181">
        <v>1.1558472351141071E-2</v>
      </c>
      <c r="Y17" s="73">
        <f t="shared" si="10"/>
        <v>4145293.5990229053</v>
      </c>
      <c r="Z17" s="73">
        <v>1750000</v>
      </c>
      <c r="AA17" s="73">
        <f t="shared" si="11"/>
        <v>5895293.5990229053</v>
      </c>
      <c r="AB17" s="74">
        <f t="shared" si="12"/>
        <v>175543757.71056542</v>
      </c>
    </row>
    <row r="18" spans="1:28" ht="14">
      <c r="A18" s="37" t="s">
        <v>41</v>
      </c>
      <c r="B18" s="181">
        <v>4.0000007882070787E-3</v>
      </c>
      <c r="C18" s="73">
        <f t="shared" si="0"/>
        <v>457912.59264034108</v>
      </c>
      <c r="D18" s="181">
        <v>4.9997117070213551E-3</v>
      </c>
      <c r="E18" s="73">
        <f t="shared" si="0"/>
        <v>119564.06861733507</v>
      </c>
      <c r="F18" s="101">
        <v>3.9423550463087509E-3</v>
      </c>
      <c r="G18" s="73">
        <f t="shared" si="1"/>
        <v>20557580.811371978</v>
      </c>
      <c r="H18" s="181">
        <v>0</v>
      </c>
      <c r="I18" s="73">
        <f t="shared" si="2"/>
        <v>0</v>
      </c>
      <c r="J18" s="181">
        <v>3.1563201683592404E-3</v>
      </c>
      <c r="K18" s="73">
        <f t="shared" si="3"/>
        <v>878239.6397659455</v>
      </c>
      <c r="L18" s="181">
        <v>2.7130402279169313E-3</v>
      </c>
      <c r="M18" s="73">
        <f t="shared" si="4"/>
        <v>1821506.7424275484</v>
      </c>
      <c r="N18" s="181">
        <v>8.2751235757125997E-3</v>
      </c>
      <c r="O18" s="73">
        <f t="shared" si="5"/>
        <v>92751.511744735573</v>
      </c>
      <c r="P18" s="181">
        <v>0</v>
      </c>
      <c r="Q18" s="73">
        <f t="shared" si="6"/>
        <v>0</v>
      </c>
      <c r="R18" s="181">
        <v>0</v>
      </c>
      <c r="S18" s="73">
        <f t="shared" si="7"/>
        <v>0</v>
      </c>
      <c r="T18" s="181">
        <v>0</v>
      </c>
      <c r="U18" s="73">
        <f t="shared" si="8"/>
        <v>0</v>
      </c>
      <c r="V18" s="181">
        <v>0</v>
      </c>
      <c r="W18" s="73">
        <f t="shared" si="9"/>
        <v>0</v>
      </c>
      <c r="X18" s="181">
        <v>2.5808784629573153E-3</v>
      </c>
      <c r="Y18" s="73">
        <f t="shared" si="10"/>
        <v>925598.00701490289</v>
      </c>
      <c r="Z18" s="73">
        <v>1750000</v>
      </c>
      <c r="AA18" s="73">
        <f t="shared" si="11"/>
        <v>2675598.0070149028</v>
      </c>
      <c r="AB18" s="74">
        <f t="shared" si="12"/>
        <v>26603153.373582788</v>
      </c>
    </row>
    <row r="19" spans="1:28" ht="14">
      <c r="A19" s="37" t="s">
        <v>42</v>
      </c>
      <c r="B19" s="181">
        <v>4.0000007882070787E-3</v>
      </c>
      <c r="C19" s="73">
        <f t="shared" si="0"/>
        <v>457912.59264034108</v>
      </c>
      <c r="D19" s="181">
        <v>4.9997117070213551E-3</v>
      </c>
      <c r="E19" s="73">
        <f t="shared" si="0"/>
        <v>119564.06861733507</v>
      </c>
      <c r="F19" s="101">
        <v>4.2348520270479584E-3</v>
      </c>
      <c r="G19" s="73">
        <f t="shared" si="1"/>
        <v>22082818.961664554</v>
      </c>
      <c r="H19" s="181">
        <v>8.0222758009711459E-2</v>
      </c>
      <c r="I19" s="73">
        <f t="shared" si="2"/>
        <v>1936223.4380269016</v>
      </c>
      <c r="J19" s="181">
        <v>1.4430250498192582E-3</v>
      </c>
      <c r="K19" s="73">
        <f t="shared" si="3"/>
        <v>401518.77259818563</v>
      </c>
      <c r="L19" s="181">
        <v>0</v>
      </c>
      <c r="M19" s="73">
        <f t="shared" si="4"/>
        <v>0</v>
      </c>
      <c r="N19" s="181">
        <v>0</v>
      </c>
      <c r="O19" s="73">
        <f t="shared" si="5"/>
        <v>0</v>
      </c>
      <c r="P19" s="181">
        <v>0</v>
      </c>
      <c r="Q19" s="73">
        <f t="shared" si="6"/>
        <v>0</v>
      </c>
      <c r="R19" s="181">
        <v>0</v>
      </c>
      <c r="S19" s="73">
        <f t="shared" si="7"/>
        <v>0</v>
      </c>
      <c r="T19" s="181">
        <v>7.0144262173573099E-2</v>
      </c>
      <c r="U19" s="73">
        <f t="shared" si="8"/>
        <v>177941244.2250787</v>
      </c>
      <c r="V19" s="181">
        <v>7.6613582501631514E-2</v>
      </c>
      <c r="W19" s="73">
        <f t="shared" si="9"/>
        <v>5760840.0044355914</v>
      </c>
      <c r="X19" s="181">
        <v>3.5290319967315499E-3</v>
      </c>
      <c r="Y19" s="73">
        <f t="shared" si="10"/>
        <v>1265640.7613722526</v>
      </c>
      <c r="Z19" s="73">
        <v>500000</v>
      </c>
      <c r="AA19" s="73">
        <f t="shared" si="11"/>
        <v>1765640.7613722526</v>
      </c>
      <c r="AB19" s="74">
        <f t="shared" si="12"/>
        <v>210465762.82443386</v>
      </c>
    </row>
    <row r="20" spans="1:28" ht="14">
      <c r="A20" s="37" t="s">
        <v>43</v>
      </c>
      <c r="B20" s="181">
        <v>7.2065200789794753E-2</v>
      </c>
      <c r="C20" s="73">
        <f t="shared" si="0"/>
        <v>8249889.10754517</v>
      </c>
      <c r="D20" s="181">
        <v>7.0436587307749945E-2</v>
      </c>
      <c r="E20" s="73">
        <f t="shared" si="0"/>
        <v>1684434.1137125401</v>
      </c>
      <c r="F20" s="101">
        <v>5.1928442921264362E-2</v>
      </c>
      <c r="G20" s="73">
        <f t="shared" si="1"/>
        <v>270783110.40557778</v>
      </c>
      <c r="H20" s="181">
        <v>3.4103686093324211E-2</v>
      </c>
      <c r="I20" s="73">
        <f t="shared" si="2"/>
        <v>823112.51788442396</v>
      </c>
      <c r="J20" s="181">
        <v>7.977270529972319E-2</v>
      </c>
      <c r="K20" s="73">
        <f t="shared" si="3"/>
        <v>22196592.306414559</v>
      </c>
      <c r="L20" s="181">
        <v>2.5299106431908309E-2</v>
      </c>
      <c r="M20" s="73">
        <f t="shared" si="4"/>
        <v>16985554.607310493</v>
      </c>
      <c r="N20" s="181">
        <v>2.4205737462978161E-2</v>
      </c>
      <c r="O20" s="73">
        <f t="shared" si="5"/>
        <v>271309.39158139034</v>
      </c>
      <c r="P20" s="181">
        <v>0</v>
      </c>
      <c r="Q20" s="73">
        <f t="shared" si="6"/>
        <v>0</v>
      </c>
      <c r="R20" s="181">
        <v>0</v>
      </c>
      <c r="S20" s="73">
        <f t="shared" si="7"/>
        <v>0</v>
      </c>
      <c r="T20" s="181">
        <v>1.7820583624599286E-2</v>
      </c>
      <c r="U20" s="73">
        <f t="shared" si="8"/>
        <v>45207073.603989556</v>
      </c>
      <c r="V20" s="181">
        <v>2.2265987413418009E-2</v>
      </c>
      <c r="W20" s="73">
        <f t="shared" si="9"/>
        <v>1674256.5331251316</v>
      </c>
      <c r="X20" s="181">
        <v>6.6763051089306191E-2</v>
      </c>
      <c r="Y20" s="73">
        <f t="shared" si="10"/>
        <v>23943687.359724376</v>
      </c>
      <c r="Z20" s="73">
        <v>1750000</v>
      </c>
      <c r="AA20" s="73">
        <f t="shared" si="11"/>
        <v>25693687.359724376</v>
      </c>
      <c r="AB20" s="74">
        <f t="shared" si="12"/>
        <v>393569019.94686538</v>
      </c>
    </row>
    <row r="21" spans="1:28" ht="14">
      <c r="A21" s="37" t="s">
        <v>44</v>
      </c>
      <c r="B21" s="181">
        <v>2.8456640151536945E-2</v>
      </c>
      <c r="C21" s="73">
        <f t="shared" si="0"/>
        <v>3257662.8254776532</v>
      </c>
      <c r="D21" s="181">
        <v>2.7139041150210857E-2</v>
      </c>
      <c r="E21" s="73">
        <f t="shared" si="0"/>
        <v>649008.25656318816</v>
      </c>
      <c r="F21" s="101">
        <v>1.8568817588985757E-2</v>
      </c>
      <c r="G21" s="73">
        <f t="shared" si="1"/>
        <v>96827902.021309823</v>
      </c>
      <c r="H21" s="181">
        <v>3.7886714588496517E-2</v>
      </c>
      <c r="I21" s="73">
        <f t="shared" si="2"/>
        <v>914418.13515314902</v>
      </c>
      <c r="J21" s="181">
        <v>2.6495205796995262E-2</v>
      </c>
      <c r="K21" s="73">
        <f t="shared" si="3"/>
        <v>7372236.8940707874</v>
      </c>
      <c r="L21" s="181">
        <v>3.4186157126159113E-2</v>
      </c>
      <c r="M21" s="73">
        <f t="shared" si="4"/>
        <v>22952227.195981342</v>
      </c>
      <c r="N21" s="181">
        <v>3.1801874124474779E-2</v>
      </c>
      <c r="O21" s="73">
        <f t="shared" si="5"/>
        <v>356450.49579900905</v>
      </c>
      <c r="P21" s="181">
        <v>2.9600000000000001E-2</v>
      </c>
      <c r="Q21" s="73">
        <f t="shared" si="6"/>
        <v>592000</v>
      </c>
      <c r="R21" s="181">
        <v>0</v>
      </c>
      <c r="S21" s="73">
        <f t="shared" si="7"/>
        <v>0</v>
      </c>
      <c r="T21" s="181">
        <v>1.9035360168962637E-2</v>
      </c>
      <c r="U21" s="73">
        <f t="shared" si="8"/>
        <v>48288706.271599174</v>
      </c>
      <c r="V21" s="181">
        <v>5.2261377037071927E-2</v>
      </c>
      <c r="W21" s="73">
        <f t="shared" si="9"/>
        <v>3929713.5271757352</v>
      </c>
      <c r="X21" s="181">
        <v>2.1245077642641601E-2</v>
      </c>
      <c r="Y21" s="73">
        <f t="shared" si="10"/>
        <v>7619266.7756905388</v>
      </c>
      <c r="Z21" s="73">
        <v>1750000</v>
      </c>
      <c r="AA21" s="73">
        <f t="shared" si="11"/>
        <v>9369266.7756905388</v>
      </c>
      <c r="AB21" s="74">
        <f t="shared" si="12"/>
        <v>194509592.39882037</v>
      </c>
    </row>
    <row r="22" spans="1:28" ht="14">
      <c r="A22" s="37" t="s">
        <v>45</v>
      </c>
      <c r="B22" s="181">
        <v>0</v>
      </c>
      <c r="C22" s="73">
        <f t="shared" si="0"/>
        <v>0</v>
      </c>
      <c r="D22" s="181">
        <v>0</v>
      </c>
      <c r="E22" s="73">
        <f t="shared" si="0"/>
        <v>0</v>
      </c>
      <c r="F22" s="101"/>
      <c r="G22" s="73">
        <f t="shared" si="1"/>
        <v>0</v>
      </c>
      <c r="H22" s="181">
        <v>0</v>
      </c>
      <c r="I22" s="73">
        <f t="shared" si="2"/>
        <v>0</v>
      </c>
      <c r="J22" s="181">
        <v>1.7548814033110216E-4</v>
      </c>
      <c r="K22" s="73">
        <f t="shared" si="3"/>
        <v>48829.216596141407</v>
      </c>
      <c r="L22" s="181">
        <v>1.2723498709283419E-3</v>
      </c>
      <c r="M22" s="73">
        <f t="shared" si="4"/>
        <v>854242.35320028453</v>
      </c>
      <c r="N22" s="181">
        <v>2.1623571049098375E-3</v>
      </c>
      <c r="O22" s="73">
        <f t="shared" si="5"/>
        <v>24236.724512610814</v>
      </c>
      <c r="P22" s="181">
        <v>0</v>
      </c>
      <c r="Q22" s="73">
        <f t="shared" si="6"/>
        <v>0</v>
      </c>
      <c r="R22" s="181">
        <v>0</v>
      </c>
      <c r="S22" s="73">
        <f t="shared" si="7"/>
        <v>0</v>
      </c>
      <c r="T22" s="181">
        <v>0</v>
      </c>
      <c r="U22" s="73">
        <f t="shared" si="8"/>
        <v>0</v>
      </c>
      <c r="V22" s="181">
        <v>0</v>
      </c>
      <c r="W22" s="73">
        <f t="shared" si="9"/>
        <v>0</v>
      </c>
      <c r="X22" s="181">
        <v>0</v>
      </c>
      <c r="Y22" s="73">
        <f t="shared" si="10"/>
        <v>0</v>
      </c>
      <c r="Z22" s="73">
        <v>500000</v>
      </c>
      <c r="AA22" s="73">
        <f t="shared" si="11"/>
        <v>500000</v>
      </c>
      <c r="AB22" s="74">
        <f t="shared" si="12"/>
        <v>1427308.2943090368</v>
      </c>
    </row>
    <row r="23" spans="1:28" ht="14">
      <c r="A23" s="37" t="s">
        <v>46</v>
      </c>
      <c r="B23" s="181">
        <v>4.0000007882070787E-3</v>
      </c>
      <c r="C23" s="73">
        <f t="shared" si="0"/>
        <v>457912.59264034108</v>
      </c>
      <c r="D23" s="181">
        <v>4.9997117070213551E-3</v>
      </c>
      <c r="E23" s="73">
        <f t="shared" si="0"/>
        <v>119564.06861733507</v>
      </c>
      <c r="F23" s="101">
        <v>6.3999972438473045E-3</v>
      </c>
      <c r="G23" s="73">
        <f t="shared" si="1"/>
        <v>33373062.290809441</v>
      </c>
      <c r="H23" s="181">
        <v>9.6743633162504339E-3</v>
      </c>
      <c r="I23" s="73">
        <f t="shared" si="2"/>
        <v>233496.44746250386</v>
      </c>
      <c r="J23" s="181">
        <v>4.395293938013062E-3</v>
      </c>
      <c r="K23" s="73">
        <f t="shared" si="3"/>
        <v>1222981.5604519786</v>
      </c>
      <c r="L23" s="181">
        <v>4.3360021509393429E-3</v>
      </c>
      <c r="M23" s="73">
        <f t="shared" si="4"/>
        <v>2911146.3486040835</v>
      </c>
      <c r="N23" s="181">
        <v>9.0965592500638053E-3</v>
      </c>
      <c r="O23" s="73">
        <f t="shared" si="5"/>
        <v>101958.5525701736</v>
      </c>
      <c r="P23" s="181">
        <v>0</v>
      </c>
      <c r="Q23" s="73">
        <f t="shared" si="6"/>
        <v>0</v>
      </c>
      <c r="R23" s="181">
        <v>0</v>
      </c>
      <c r="S23" s="73">
        <f t="shared" si="7"/>
        <v>0</v>
      </c>
      <c r="T23" s="181">
        <v>1.2385730543621905E-4</v>
      </c>
      <c r="U23" s="73">
        <f t="shared" si="8"/>
        <v>314199.94098946772</v>
      </c>
      <c r="V23" s="181">
        <v>1.4701659115240687E-2</v>
      </c>
      <c r="W23" s="73">
        <f t="shared" si="9"/>
        <v>1105468.5500557311</v>
      </c>
      <c r="X23" s="181">
        <v>1.0366159355429982E-2</v>
      </c>
      <c r="Y23" s="73">
        <f t="shared" si="10"/>
        <v>3717686.2752345614</v>
      </c>
      <c r="Z23" s="73">
        <v>1750000</v>
      </c>
      <c r="AA23" s="73">
        <f t="shared" si="11"/>
        <v>5467686.2752345614</v>
      </c>
      <c r="AB23" s="74">
        <f t="shared" si="12"/>
        <v>45307476.62743561</v>
      </c>
    </row>
    <row r="24" spans="1:28" ht="14">
      <c r="A24" s="37" t="s">
        <v>47</v>
      </c>
      <c r="B24" s="181">
        <v>4.0000007882070787E-3</v>
      </c>
      <c r="C24" s="73">
        <f t="shared" si="0"/>
        <v>457912.59264034108</v>
      </c>
      <c r="D24" s="181">
        <v>4.9997117070213551E-3</v>
      </c>
      <c r="E24" s="73">
        <f t="shared" si="0"/>
        <v>119564.06861733507</v>
      </c>
      <c r="F24" s="101">
        <v>2.1087882780798702E-3</v>
      </c>
      <c r="G24" s="73">
        <f t="shared" si="1"/>
        <v>10996367.635961967</v>
      </c>
      <c r="H24" s="181">
        <v>0</v>
      </c>
      <c r="I24" s="73">
        <f t="shared" si="2"/>
        <v>0</v>
      </c>
      <c r="J24" s="181">
        <v>5.2717985889886602E-3</v>
      </c>
      <c r="K24" s="73">
        <f t="shared" si="3"/>
        <v>1466867.1892429714</v>
      </c>
      <c r="L24" s="181">
        <v>1.2386698073794607E-2</v>
      </c>
      <c r="M24" s="73">
        <f t="shared" si="4"/>
        <v>8316299.1192189679</v>
      </c>
      <c r="N24" s="181">
        <v>1.2063959116452144E-2</v>
      </c>
      <c r="O24" s="73">
        <f t="shared" si="5"/>
        <v>135218.57836198708</v>
      </c>
      <c r="P24" s="181">
        <v>0</v>
      </c>
      <c r="Q24" s="73">
        <f t="shared" si="6"/>
        <v>0</v>
      </c>
      <c r="R24" s="181">
        <v>4.1416639999999998E-2</v>
      </c>
      <c r="S24" s="73">
        <f t="shared" si="7"/>
        <v>1242499.2</v>
      </c>
      <c r="T24" s="181">
        <v>0</v>
      </c>
      <c r="U24" s="73">
        <f t="shared" si="8"/>
        <v>0</v>
      </c>
      <c r="V24" s="181">
        <v>0</v>
      </c>
      <c r="W24" s="73">
        <f t="shared" si="9"/>
        <v>0</v>
      </c>
      <c r="X24" s="181">
        <v>3.0193503043309047E-3</v>
      </c>
      <c r="Y24" s="73">
        <f t="shared" si="10"/>
        <v>1082850.1474518084</v>
      </c>
      <c r="Z24" s="73">
        <v>1750000</v>
      </c>
      <c r="AA24" s="73">
        <f t="shared" si="11"/>
        <v>2832850.1474518087</v>
      </c>
      <c r="AB24" s="74">
        <f t="shared" si="12"/>
        <v>25567578.531495377</v>
      </c>
    </row>
    <row r="25" spans="1:28" ht="14">
      <c r="A25" s="37" t="s">
        <v>122</v>
      </c>
      <c r="B25" s="181">
        <v>4.7704553788513099E-2</v>
      </c>
      <c r="C25" s="73">
        <f t="shared" si="0"/>
        <v>5461127.9003872424</v>
      </c>
      <c r="D25" s="181">
        <v>4.3961645729089012E-2</v>
      </c>
      <c r="E25" s="73">
        <f t="shared" si="0"/>
        <v>1051307.2621971727</v>
      </c>
      <c r="F25" s="101">
        <v>5.5500253326491118E-2</v>
      </c>
      <c r="G25" s="73">
        <f t="shared" si="1"/>
        <v>289408470.16791052</v>
      </c>
      <c r="H25" s="181">
        <v>7.7014970899263235E-2</v>
      </c>
      <c r="I25" s="73">
        <f t="shared" si="2"/>
        <v>1858801.6098382154</v>
      </c>
      <c r="J25" s="181">
        <v>3.7887463031241582E-2</v>
      </c>
      <c r="K25" s="73">
        <f t="shared" si="3"/>
        <v>10542109.199745808</v>
      </c>
      <c r="L25" s="181">
        <v>2.6078669615529973E-2</v>
      </c>
      <c r="M25" s="73">
        <f t="shared" si="4"/>
        <v>17508945.149221256</v>
      </c>
      <c r="N25" s="181">
        <v>2.5802915922351479E-2</v>
      </c>
      <c r="O25" s="73">
        <f t="shared" si="5"/>
        <v>289211.32564649539</v>
      </c>
      <c r="P25" s="181">
        <v>0</v>
      </c>
      <c r="Q25" s="73">
        <f t="shared" si="6"/>
        <v>0</v>
      </c>
      <c r="R25" s="181">
        <v>0</v>
      </c>
      <c r="S25" s="73">
        <f t="shared" si="7"/>
        <v>0</v>
      </c>
      <c r="T25" s="181">
        <v>0.10463183896232617</v>
      </c>
      <c r="U25" s="73">
        <f t="shared" si="8"/>
        <v>265428974.99503317</v>
      </c>
      <c r="V25" s="181">
        <v>0</v>
      </c>
      <c r="W25" s="73">
        <f t="shared" si="9"/>
        <v>0</v>
      </c>
      <c r="X25" s="181">
        <v>4.4062629232095564E-2</v>
      </c>
      <c r="Y25" s="73">
        <f t="shared" si="10"/>
        <v>15802480.58420052</v>
      </c>
      <c r="Z25" s="73">
        <v>1750000</v>
      </c>
      <c r="AA25" s="73">
        <f t="shared" si="11"/>
        <v>17552480.58420052</v>
      </c>
      <c r="AB25" s="74">
        <f t="shared" si="12"/>
        <v>609101428.19418037</v>
      </c>
    </row>
    <row r="26" spans="1:28" ht="14">
      <c r="A26" s="37" t="s">
        <v>48</v>
      </c>
      <c r="B26" s="181">
        <v>1.6268584714793696E-2</v>
      </c>
      <c r="C26" s="73">
        <f t="shared" si="0"/>
        <v>1862397.0843464101</v>
      </c>
      <c r="D26" s="181">
        <v>1.6437762914576107E-2</v>
      </c>
      <c r="E26" s="73">
        <f t="shared" si="0"/>
        <v>393095.82796019979</v>
      </c>
      <c r="F26" s="101">
        <v>1.1701411137148914E-2</v>
      </c>
      <c r="G26" s="73">
        <f t="shared" si="1"/>
        <v>61017514.210004419</v>
      </c>
      <c r="H26" s="181">
        <v>0</v>
      </c>
      <c r="I26" s="73">
        <f t="shared" si="2"/>
        <v>0</v>
      </c>
      <c r="J26" s="181">
        <v>2.0578006090248676E-2</v>
      </c>
      <c r="K26" s="73">
        <f t="shared" si="3"/>
        <v>5725788.1621039957</v>
      </c>
      <c r="L26" s="181">
        <v>2.5708246807689385E-2</v>
      </c>
      <c r="M26" s="73">
        <f t="shared" si="4"/>
        <v>17260247.162701305</v>
      </c>
      <c r="N26" s="181">
        <v>2.6394568180055984E-2</v>
      </c>
      <c r="O26" s="73">
        <f t="shared" si="5"/>
        <v>295842.84490142722</v>
      </c>
      <c r="P26" s="181">
        <v>0</v>
      </c>
      <c r="Q26" s="73">
        <f t="shared" si="6"/>
        <v>0</v>
      </c>
      <c r="R26" s="181">
        <v>0</v>
      </c>
      <c r="S26" s="73">
        <f t="shared" si="7"/>
        <v>0</v>
      </c>
      <c r="T26" s="181">
        <v>1.1069161214109289E-3</v>
      </c>
      <c r="U26" s="73">
        <f t="shared" si="8"/>
        <v>2808013.4538911162</v>
      </c>
      <c r="V26" s="181">
        <v>0</v>
      </c>
      <c r="W26" s="73">
        <f t="shared" si="9"/>
        <v>0</v>
      </c>
      <c r="X26" s="181">
        <v>1.3066973341810215E-2</v>
      </c>
      <c r="Y26" s="73">
        <f t="shared" si="10"/>
        <v>4686297.5752207795</v>
      </c>
      <c r="Z26" s="73">
        <v>1750000</v>
      </c>
      <c r="AA26" s="73">
        <f t="shared" si="11"/>
        <v>6436297.5752207795</v>
      </c>
      <c r="AB26" s="74">
        <f t="shared" si="12"/>
        <v>95799196.32112965</v>
      </c>
    </row>
    <row r="27" spans="1:28" ht="14">
      <c r="A27" s="37" t="s">
        <v>49</v>
      </c>
      <c r="B27" s="181">
        <v>4.3500210315230376E-3</v>
      </c>
      <c r="C27" s="73">
        <f t="shared" ref="C27:E42" si="13">B27*C$67</f>
        <v>497982.25401789683</v>
      </c>
      <c r="D27" s="181">
        <v>5.4368433014395316E-3</v>
      </c>
      <c r="E27" s="73">
        <f t="shared" si="13"/>
        <v>130017.71775002829</v>
      </c>
      <c r="F27" s="101">
        <v>4.3083209807515252E-3</v>
      </c>
      <c r="G27" s="73">
        <f t="shared" si="1"/>
        <v>22465925.996710058</v>
      </c>
      <c r="H27" s="181">
        <v>0</v>
      </c>
      <c r="I27" s="73">
        <f t="shared" si="2"/>
        <v>0</v>
      </c>
      <c r="J27" s="181">
        <v>9.2896155252231629E-3</v>
      </c>
      <c r="K27" s="73">
        <f t="shared" si="3"/>
        <v>2584816.5449822498</v>
      </c>
      <c r="L27" s="181">
        <v>1.965541975786389E-2</v>
      </c>
      <c r="M27" s="73">
        <f t="shared" si="4"/>
        <v>13196442.59078378</v>
      </c>
      <c r="N27" s="181">
        <v>1.9733958098018877E-2</v>
      </c>
      <c r="O27" s="73">
        <f t="shared" si="5"/>
        <v>221187.56651206862</v>
      </c>
      <c r="P27" s="181">
        <v>0</v>
      </c>
      <c r="Q27" s="73">
        <f t="shared" si="6"/>
        <v>0</v>
      </c>
      <c r="R27" s="181">
        <v>0</v>
      </c>
      <c r="S27" s="73">
        <f t="shared" si="7"/>
        <v>0</v>
      </c>
      <c r="T27" s="181">
        <v>0</v>
      </c>
      <c r="U27" s="73">
        <f t="shared" si="8"/>
        <v>0</v>
      </c>
      <c r="V27" s="181">
        <v>0</v>
      </c>
      <c r="W27" s="73">
        <f t="shared" si="9"/>
        <v>0</v>
      </c>
      <c r="X27" s="181">
        <v>5.530684206394073E-3</v>
      </c>
      <c r="Y27" s="73">
        <f t="shared" si="10"/>
        <v>1983506.9153164611</v>
      </c>
      <c r="Z27" s="73">
        <v>1750000</v>
      </c>
      <c r="AA27" s="73">
        <f t="shared" si="11"/>
        <v>3733506.9153164611</v>
      </c>
      <c r="AB27" s="74">
        <f t="shared" si="12"/>
        <v>42829879.586072549</v>
      </c>
    </row>
    <row r="28" spans="1:28" ht="14">
      <c r="A28" s="37" t="s">
        <v>50</v>
      </c>
      <c r="B28" s="181">
        <v>5.8977219304703959E-3</v>
      </c>
      <c r="C28" s="73">
        <f t="shared" si="13"/>
        <v>675160.15192187135</v>
      </c>
      <c r="D28" s="181">
        <v>6.1328929805395472E-3</v>
      </c>
      <c r="E28" s="73">
        <f t="shared" si="13"/>
        <v>146663.18382282497</v>
      </c>
      <c r="F28" s="101">
        <v>3.686695333097228E-3</v>
      </c>
      <c r="G28" s="73">
        <f t="shared" si="1"/>
        <v>19224432.185025129</v>
      </c>
      <c r="H28" s="181">
        <v>0</v>
      </c>
      <c r="I28" s="73">
        <f t="shared" si="2"/>
        <v>0</v>
      </c>
      <c r="J28" s="181">
        <v>8.1962927949747761E-3</v>
      </c>
      <c r="K28" s="73">
        <f t="shared" si="3"/>
        <v>2280601.7285048687</v>
      </c>
      <c r="L28" s="181">
        <v>1.770502651767732E-2</v>
      </c>
      <c r="M28" s="73">
        <f t="shared" si="4"/>
        <v>11886969.033838894</v>
      </c>
      <c r="N28" s="181">
        <v>1.701019083329039E-2</v>
      </c>
      <c r="O28" s="73">
        <f t="shared" si="5"/>
        <v>190658.29052809812</v>
      </c>
      <c r="P28" s="181">
        <v>0</v>
      </c>
      <c r="Q28" s="73">
        <f t="shared" si="6"/>
        <v>0</v>
      </c>
      <c r="R28" s="181">
        <v>3.5838799999999998E-3</v>
      </c>
      <c r="S28" s="73">
        <f t="shared" si="7"/>
        <v>107516.4</v>
      </c>
      <c r="T28" s="181">
        <v>0</v>
      </c>
      <c r="U28" s="73">
        <f t="shared" si="8"/>
        <v>0</v>
      </c>
      <c r="V28" s="181">
        <v>0</v>
      </c>
      <c r="W28" s="73">
        <f t="shared" si="9"/>
        <v>0</v>
      </c>
      <c r="X28" s="181">
        <v>4.9327165828193728E-3</v>
      </c>
      <c r="Y28" s="73">
        <f t="shared" si="10"/>
        <v>1769053.7170802394</v>
      </c>
      <c r="Z28" s="73">
        <v>1750000</v>
      </c>
      <c r="AA28" s="73">
        <f t="shared" si="11"/>
        <v>3519053.7170802392</v>
      </c>
      <c r="AB28" s="74">
        <f t="shared" si="12"/>
        <v>38031054.690721929</v>
      </c>
    </row>
    <row r="29" spans="1:28" ht="14">
      <c r="A29" s="37" t="s">
        <v>51</v>
      </c>
      <c r="B29" s="181">
        <v>6.5866899843342909E-3</v>
      </c>
      <c r="C29" s="73">
        <f t="shared" si="13"/>
        <v>754031.92332784587</v>
      </c>
      <c r="D29" s="181">
        <v>7.6200570030074575E-3</v>
      </c>
      <c r="E29" s="73">
        <f t="shared" si="13"/>
        <v>182227.51065748534</v>
      </c>
      <c r="F29" s="101">
        <v>5.145101900186644E-3</v>
      </c>
      <c r="G29" s="73">
        <f t="shared" si="1"/>
        <v>26829356.273952112</v>
      </c>
      <c r="H29" s="181">
        <v>0</v>
      </c>
      <c r="I29" s="73">
        <f t="shared" si="2"/>
        <v>0</v>
      </c>
      <c r="J29" s="181">
        <v>1.3276876815404265E-2</v>
      </c>
      <c r="K29" s="73">
        <f t="shared" si="3"/>
        <v>3694263.8546199431</v>
      </c>
      <c r="L29" s="181">
        <v>2.6934131716115035E-2</v>
      </c>
      <c r="M29" s="73">
        <f t="shared" si="4"/>
        <v>18083293.427611265</v>
      </c>
      <c r="N29" s="181">
        <v>2.5733104724428066E-2</v>
      </c>
      <c r="O29" s="73">
        <f t="shared" si="5"/>
        <v>288428.84861338953</v>
      </c>
      <c r="P29" s="181">
        <v>8.8200000000000001E-2</v>
      </c>
      <c r="Q29" s="73">
        <f t="shared" si="6"/>
        <v>1764000</v>
      </c>
      <c r="R29" s="181">
        <v>0</v>
      </c>
      <c r="S29" s="73">
        <f t="shared" si="7"/>
        <v>0</v>
      </c>
      <c r="T29" s="181">
        <v>0</v>
      </c>
      <c r="U29" s="73">
        <f t="shared" si="8"/>
        <v>0</v>
      </c>
      <c r="V29" s="181">
        <v>0</v>
      </c>
      <c r="W29" s="73">
        <f t="shared" si="9"/>
        <v>0</v>
      </c>
      <c r="X29" s="181">
        <v>7.2346981091170699E-3</v>
      </c>
      <c r="Y29" s="73">
        <f t="shared" si="10"/>
        <v>2594629.0177027979</v>
      </c>
      <c r="Z29" s="73">
        <v>1750000</v>
      </c>
      <c r="AA29" s="73">
        <f t="shared" si="11"/>
        <v>4344629.0177027974</v>
      </c>
      <c r="AB29" s="74">
        <f t="shared" si="12"/>
        <v>55940230.85648483</v>
      </c>
    </row>
    <row r="30" spans="1:28" ht="14">
      <c r="A30" s="37" t="s">
        <v>52</v>
      </c>
      <c r="B30" s="181">
        <v>9.531262727726279E-3</v>
      </c>
      <c r="C30" s="73">
        <f t="shared" si="13"/>
        <v>1091121.0916900055</v>
      </c>
      <c r="D30" s="181">
        <v>1.1912588870511758E-2</v>
      </c>
      <c r="E30" s="73">
        <f t="shared" si="13"/>
        <v>284879.94440233958</v>
      </c>
      <c r="F30" s="101">
        <v>7.0166614991496673E-3</v>
      </c>
      <c r="G30" s="73">
        <f t="shared" si="1"/>
        <v>36588684.707601279</v>
      </c>
      <c r="H30" s="181">
        <v>1.2964103484238503E-2</v>
      </c>
      <c r="I30" s="73">
        <f t="shared" si="2"/>
        <v>312896.26088584651</v>
      </c>
      <c r="J30" s="181">
        <v>1.5663002055443003E-2</v>
      </c>
      <c r="K30" s="73">
        <f t="shared" si="3"/>
        <v>4358198.328776096</v>
      </c>
      <c r="L30" s="181">
        <v>1.841591101324818E-2</v>
      </c>
      <c r="M30" s="73">
        <f t="shared" si="4"/>
        <v>12364249.425204022</v>
      </c>
      <c r="N30" s="181">
        <v>1.9546946994269922E-2</v>
      </c>
      <c r="O30" s="73">
        <f t="shared" si="5"/>
        <v>219091.45732082025</v>
      </c>
      <c r="P30" s="181">
        <v>0</v>
      </c>
      <c r="Q30" s="73">
        <f t="shared" si="6"/>
        <v>0</v>
      </c>
      <c r="R30" s="181">
        <v>0</v>
      </c>
      <c r="S30" s="73">
        <f t="shared" si="7"/>
        <v>0</v>
      </c>
      <c r="T30" s="181">
        <v>1.6571689170716635E-3</v>
      </c>
      <c r="U30" s="73">
        <f t="shared" si="8"/>
        <v>4203889.0973744364</v>
      </c>
      <c r="V30" s="181">
        <v>6.3462052403915467E-3</v>
      </c>
      <c r="W30" s="73">
        <f t="shared" si="9"/>
        <v>477193.10116359411</v>
      </c>
      <c r="X30" s="181">
        <v>9.5044023996227345E-3</v>
      </c>
      <c r="Y30" s="73">
        <f t="shared" si="10"/>
        <v>3408628.5135945822</v>
      </c>
      <c r="Z30" s="73">
        <v>1750000</v>
      </c>
      <c r="AA30" s="73">
        <f t="shared" si="11"/>
        <v>5158628.5135945827</v>
      </c>
      <c r="AB30" s="74">
        <f t="shared" si="12"/>
        <v>65058831.928013034</v>
      </c>
    </row>
    <row r="31" spans="1:28" ht="14">
      <c r="A31" s="37" t="s">
        <v>53</v>
      </c>
      <c r="B31" s="181">
        <v>4.0000007882070787E-3</v>
      </c>
      <c r="C31" s="73">
        <f t="shared" si="13"/>
        <v>457912.59264034108</v>
      </c>
      <c r="D31" s="181">
        <v>4.9997117070213551E-3</v>
      </c>
      <c r="E31" s="73">
        <f t="shared" si="13"/>
        <v>119564.06861733507</v>
      </c>
      <c r="F31" s="101">
        <v>2.7472420755713994E-3</v>
      </c>
      <c r="G31" s="73">
        <f t="shared" si="1"/>
        <v>14325612.562430095</v>
      </c>
      <c r="H31" s="181">
        <v>0</v>
      </c>
      <c r="I31" s="73">
        <f t="shared" si="2"/>
        <v>0</v>
      </c>
      <c r="J31" s="181">
        <v>4.2678745247134702E-3</v>
      </c>
      <c r="K31" s="73">
        <f t="shared" si="3"/>
        <v>1187527.3689674709</v>
      </c>
      <c r="L31" s="181">
        <v>1.1074647454818532E-2</v>
      </c>
      <c r="M31" s="73">
        <f t="shared" si="4"/>
        <v>7435402.1003398458</v>
      </c>
      <c r="N31" s="181">
        <v>1.3629764932224255E-2</v>
      </c>
      <c r="O31" s="73">
        <f t="shared" si="5"/>
        <v>152768.87295067616</v>
      </c>
      <c r="P31" s="181">
        <v>0</v>
      </c>
      <c r="Q31" s="73">
        <f t="shared" si="6"/>
        <v>0</v>
      </c>
      <c r="R31" s="181">
        <v>2.0924400000000001E-3</v>
      </c>
      <c r="S31" s="73">
        <f t="shared" si="7"/>
        <v>62773.200000000004</v>
      </c>
      <c r="T31" s="181">
        <v>3.2934854087348195E-3</v>
      </c>
      <c r="U31" s="73">
        <f t="shared" si="8"/>
        <v>8354879.9760304447</v>
      </c>
      <c r="V31" s="181">
        <v>0</v>
      </c>
      <c r="W31" s="73">
        <f t="shared" si="9"/>
        <v>0</v>
      </c>
      <c r="X31" s="181">
        <v>1.3062813347491909E-3</v>
      </c>
      <c r="Y31" s="73">
        <f t="shared" si="10"/>
        <v>468480.56481480866</v>
      </c>
      <c r="Z31" s="73">
        <v>1750000</v>
      </c>
      <c r="AA31" s="73">
        <f t="shared" si="11"/>
        <v>2218480.5648148088</v>
      </c>
      <c r="AB31" s="74">
        <f t="shared" si="12"/>
        <v>34314921.306791015</v>
      </c>
    </row>
    <row r="32" spans="1:28" ht="14">
      <c r="A32" s="37" t="s">
        <v>54</v>
      </c>
      <c r="B32" s="181">
        <v>2.2508153931850437E-2</v>
      </c>
      <c r="C32" s="73">
        <f t="shared" si="13"/>
        <v>2576691.2728788052</v>
      </c>
      <c r="D32" s="181">
        <v>2.0663470171890269E-2</v>
      </c>
      <c r="E32" s="73">
        <f t="shared" si="13"/>
        <v>494150.2051077346</v>
      </c>
      <c r="F32" s="101">
        <v>3.1415583471250806E-2</v>
      </c>
      <c r="G32" s="73">
        <f t="shared" si="1"/>
        <v>163817918.06177706</v>
      </c>
      <c r="H32" s="181">
        <v>2.7261929059244391E-2</v>
      </c>
      <c r="I32" s="73">
        <f t="shared" si="2"/>
        <v>657982.68870219716</v>
      </c>
      <c r="J32" s="181">
        <v>1.750911926983759E-2</v>
      </c>
      <c r="K32" s="73">
        <f t="shared" si="3"/>
        <v>4871876.6728138095</v>
      </c>
      <c r="L32" s="181">
        <v>8.9155321929826146E-3</v>
      </c>
      <c r="M32" s="73">
        <f t="shared" si="4"/>
        <v>5985794.7680770373</v>
      </c>
      <c r="N32" s="181">
        <v>1.3403561577009523E-2</v>
      </c>
      <c r="O32" s="73">
        <f t="shared" si="5"/>
        <v>150233.47840750872</v>
      </c>
      <c r="P32" s="181">
        <v>3.1800000000000002E-2</v>
      </c>
      <c r="Q32" s="73">
        <f t="shared" si="6"/>
        <v>636000</v>
      </c>
      <c r="R32" s="181">
        <v>0</v>
      </c>
      <c r="S32" s="73">
        <f t="shared" si="7"/>
        <v>0</v>
      </c>
      <c r="T32" s="181">
        <v>2.4820515460663432E-2</v>
      </c>
      <c r="U32" s="73">
        <f t="shared" si="8"/>
        <v>62964428.828823127</v>
      </c>
      <c r="V32" s="181">
        <v>0</v>
      </c>
      <c r="W32" s="73">
        <f t="shared" si="9"/>
        <v>0</v>
      </c>
      <c r="X32" s="181">
        <v>2.295667355980802E-2</v>
      </c>
      <c r="Y32" s="73">
        <f t="shared" si="10"/>
        <v>8233108.0675151674</v>
      </c>
      <c r="Z32" s="73">
        <v>1750000</v>
      </c>
      <c r="AA32" s="73">
        <f t="shared" si="11"/>
        <v>9983108.0675151683</v>
      </c>
      <c r="AB32" s="74">
        <f t="shared" si="12"/>
        <v>252138184.04410243</v>
      </c>
    </row>
    <row r="33" spans="1:28" ht="14">
      <c r="A33" s="37" t="s">
        <v>55</v>
      </c>
      <c r="B33" s="181">
        <v>2.6761469461587657E-2</v>
      </c>
      <c r="C33" s="73">
        <f t="shared" si="13"/>
        <v>3063602.8623168636</v>
      </c>
      <c r="D33" s="181">
        <v>2.5332856176809103E-2</v>
      </c>
      <c r="E33" s="73">
        <f t="shared" si="13"/>
        <v>605814.80127012986</v>
      </c>
      <c r="F33" s="101">
        <v>3.9473057486353637E-2</v>
      </c>
      <c r="G33" s="73">
        <f t="shared" si="1"/>
        <v>205833964.6266591</v>
      </c>
      <c r="H33" s="181">
        <v>5.1526044879055322E-2</v>
      </c>
      <c r="I33" s="73">
        <f t="shared" si="2"/>
        <v>1243611.3920637788</v>
      </c>
      <c r="J33" s="181">
        <v>2.2606431797646258E-2</v>
      </c>
      <c r="K33" s="73">
        <f t="shared" si="3"/>
        <v>6290193.4719375949</v>
      </c>
      <c r="L33" s="181">
        <v>5.8954713375621703E-3</v>
      </c>
      <c r="M33" s="73">
        <f t="shared" si="4"/>
        <v>3958157.5977599733</v>
      </c>
      <c r="N33" s="181">
        <v>1.0985701140428569E-2</v>
      </c>
      <c r="O33" s="73">
        <f t="shared" si="5"/>
        <v>123132.95131219487</v>
      </c>
      <c r="P33" s="181">
        <v>0</v>
      </c>
      <c r="Q33" s="73">
        <f t="shared" si="6"/>
        <v>0</v>
      </c>
      <c r="R33" s="181">
        <v>0</v>
      </c>
      <c r="S33" s="73">
        <f t="shared" si="7"/>
        <v>0</v>
      </c>
      <c r="T33" s="181">
        <v>5.7666060826049401E-2</v>
      </c>
      <c r="U33" s="73">
        <f t="shared" si="8"/>
        <v>146286671.14004093</v>
      </c>
      <c r="V33" s="181">
        <v>7.1192526277808572E-4</v>
      </c>
      <c r="W33" s="73">
        <f t="shared" si="9"/>
        <v>53532.12054654902</v>
      </c>
      <c r="X33" s="181">
        <v>2.332246484163791E-2</v>
      </c>
      <c r="Y33" s="73">
        <f t="shared" si="10"/>
        <v>8364294.2842644891</v>
      </c>
      <c r="Z33" s="73">
        <v>1750000</v>
      </c>
      <c r="AA33" s="73">
        <f t="shared" si="11"/>
        <v>10114294.28426449</v>
      </c>
      <c r="AB33" s="74">
        <f t="shared" si="12"/>
        <v>377572975.24817157</v>
      </c>
    </row>
    <row r="34" spans="1:28" ht="14">
      <c r="A34" s="37" t="s">
        <v>56</v>
      </c>
      <c r="B34" s="181">
        <v>2.8064272544592088E-2</v>
      </c>
      <c r="C34" s="73">
        <f t="shared" si="13"/>
        <v>3212745.317287676</v>
      </c>
      <c r="D34" s="181">
        <v>2.8106884981926147E-2</v>
      </c>
      <c r="E34" s="73">
        <f t="shared" si="13"/>
        <v>672153.46034435031</v>
      </c>
      <c r="F34" s="101">
        <v>1.7986452036548313E-2</v>
      </c>
      <c r="G34" s="73">
        <f t="shared" si="1"/>
        <v>93791131.673291177</v>
      </c>
      <c r="H34" s="181">
        <v>1.3049734785192828E-2</v>
      </c>
      <c r="I34" s="73">
        <f t="shared" si="2"/>
        <v>314963.02268823213</v>
      </c>
      <c r="J34" s="181">
        <v>3.4075173305705156E-2</v>
      </c>
      <c r="K34" s="73">
        <f t="shared" si="3"/>
        <v>9481347.3705746625</v>
      </c>
      <c r="L34" s="181">
        <v>3.3386737908759678E-2</v>
      </c>
      <c r="M34" s="73">
        <f t="shared" si="4"/>
        <v>22415505.521331772</v>
      </c>
      <c r="N34" s="181">
        <v>3.1572938617114597E-2</v>
      </c>
      <c r="O34" s="73">
        <f t="shared" si="5"/>
        <v>353884.47799813579</v>
      </c>
      <c r="P34" s="181">
        <v>0</v>
      </c>
      <c r="Q34" s="73">
        <f t="shared" si="6"/>
        <v>0</v>
      </c>
      <c r="R34" s="181">
        <v>1.4982000000000001E-3</v>
      </c>
      <c r="S34" s="73">
        <f t="shared" si="7"/>
        <v>44946</v>
      </c>
      <c r="T34" s="181">
        <v>5.1262796285633219E-4</v>
      </c>
      <c r="U34" s="73">
        <f t="shared" si="8"/>
        <v>1300429.3538579624</v>
      </c>
      <c r="V34" s="181">
        <v>0</v>
      </c>
      <c r="W34" s="73">
        <f t="shared" si="9"/>
        <v>0</v>
      </c>
      <c r="X34" s="181">
        <v>2.5822289101344945E-2</v>
      </c>
      <c r="Y34" s="73">
        <f t="shared" si="10"/>
        <v>9260823.2707635351</v>
      </c>
      <c r="Z34" s="73">
        <v>1750000</v>
      </c>
      <c r="AA34" s="73">
        <f t="shared" si="11"/>
        <v>11010823.270763535</v>
      </c>
      <c r="AB34" s="74">
        <f t="shared" si="12"/>
        <v>142597929.4681375</v>
      </c>
    </row>
    <row r="35" spans="1:28" ht="14">
      <c r="A35" s="37" t="s">
        <v>57</v>
      </c>
      <c r="B35" s="181">
        <v>1.4502728740063465E-2</v>
      </c>
      <c r="C35" s="73">
        <f t="shared" si="13"/>
        <v>1660245.2022762569</v>
      </c>
      <c r="D35" s="181">
        <v>1.3179201125970673E-2</v>
      </c>
      <c r="E35" s="73">
        <f t="shared" si="13"/>
        <v>315169.95380639588</v>
      </c>
      <c r="F35" s="101">
        <v>1.2548474290774226E-2</v>
      </c>
      <c r="G35" s="73">
        <f t="shared" si="1"/>
        <v>65434561.641917579</v>
      </c>
      <c r="H35" s="181">
        <v>1.412113532122952E-2</v>
      </c>
      <c r="I35" s="73">
        <f t="shared" si="2"/>
        <v>340821.90464212489</v>
      </c>
      <c r="J35" s="181">
        <v>1.4226622577048351E-2</v>
      </c>
      <c r="K35" s="73">
        <f t="shared" si="3"/>
        <v>3958528.6728526042</v>
      </c>
      <c r="L35" s="181">
        <v>2.4944885073894217E-2</v>
      </c>
      <c r="M35" s="73">
        <f t="shared" si="4"/>
        <v>16747734.104210211</v>
      </c>
      <c r="N35" s="181">
        <v>2.3183629924150746E-2</v>
      </c>
      <c r="O35" s="73">
        <f t="shared" si="5"/>
        <v>259853.12527617448</v>
      </c>
      <c r="P35" s="181">
        <v>0</v>
      </c>
      <c r="Q35" s="73">
        <f t="shared" si="6"/>
        <v>0</v>
      </c>
      <c r="R35" s="181">
        <v>6.4973760000000005E-2</v>
      </c>
      <c r="S35" s="73">
        <f t="shared" si="7"/>
        <v>1949212.8</v>
      </c>
      <c r="T35" s="181">
        <v>2.9883284321942211E-3</v>
      </c>
      <c r="U35" s="73">
        <f t="shared" si="8"/>
        <v>7580760.8904916877</v>
      </c>
      <c r="V35" s="181">
        <v>0.10960952530449433</v>
      </c>
      <c r="W35" s="73">
        <f t="shared" si="9"/>
        <v>8241918.9603603175</v>
      </c>
      <c r="X35" s="181">
        <v>1.4769228994015121E-2</v>
      </c>
      <c r="Y35" s="73">
        <f t="shared" si="10"/>
        <v>5296789.1042582607</v>
      </c>
      <c r="Z35" s="73">
        <v>1750000</v>
      </c>
      <c r="AA35" s="73">
        <f t="shared" si="11"/>
        <v>7046789.1042582607</v>
      </c>
      <c r="AB35" s="74">
        <f t="shared" si="12"/>
        <v>113535596.36009161</v>
      </c>
    </row>
    <row r="36" spans="1:28" ht="14">
      <c r="A36" s="37" t="s">
        <v>58</v>
      </c>
      <c r="B36" s="181">
        <v>4.0000007882070787E-3</v>
      </c>
      <c r="C36" s="73">
        <f t="shared" si="13"/>
        <v>457912.59264034108</v>
      </c>
      <c r="D36" s="181">
        <v>4.9997117070213551E-3</v>
      </c>
      <c r="E36" s="73">
        <f t="shared" si="13"/>
        <v>119564.06861733507</v>
      </c>
      <c r="F36" s="101">
        <v>1.7590020675194119E-3</v>
      </c>
      <c r="G36" s="73">
        <f t="shared" si="1"/>
        <v>9172392.320234647</v>
      </c>
      <c r="H36" s="181">
        <v>0</v>
      </c>
      <c r="I36" s="73">
        <f t="shared" si="2"/>
        <v>0</v>
      </c>
      <c r="J36" s="181">
        <v>8.044116589003978E-3</v>
      </c>
      <c r="K36" s="73">
        <f t="shared" si="3"/>
        <v>2238259.0100276694</v>
      </c>
      <c r="L36" s="181">
        <v>2.2599961708368969E-2</v>
      </c>
      <c r="M36" s="73">
        <f t="shared" si="4"/>
        <v>15173377.160723371</v>
      </c>
      <c r="N36" s="181">
        <v>2.2570120449282634E-2</v>
      </c>
      <c r="O36" s="73">
        <f t="shared" si="5"/>
        <v>252976.61995959544</v>
      </c>
      <c r="P36" s="181">
        <v>1.2699999999999999E-2</v>
      </c>
      <c r="Q36" s="73">
        <f t="shared" si="6"/>
        <v>254000</v>
      </c>
      <c r="R36" s="181">
        <v>3.0188320000000001E-2</v>
      </c>
      <c r="S36" s="73">
        <f t="shared" si="7"/>
        <v>905649.6</v>
      </c>
      <c r="T36" s="181">
        <v>0</v>
      </c>
      <c r="U36" s="73">
        <f t="shared" si="8"/>
        <v>0</v>
      </c>
      <c r="V36" s="181">
        <v>0</v>
      </c>
      <c r="W36" s="73">
        <f t="shared" si="9"/>
        <v>0</v>
      </c>
      <c r="X36" s="181">
        <v>2.2617568348459508E-3</v>
      </c>
      <c r="Y36" s="73">
        <f t="shared" si="10"/>
        <v>811149.24578312878</v>
      </c>
      <c r="Z36" s="73">
        <v>1750000</v>
      </c>
      <c r="AA36" s="73">
        <f t="shared" si="11"/>
        <v>2561149.2457831288</v>
      </c>
      <c r="AB36" s="74">
        <f t="shared" si="12"/>
        <v>31135280.61798609</v>
      </c>
    </row>
    <row r="37" spans="1:28" ht="14">
      <c r="A37" s="37" t="s">
        <v>59</v>
      </c>
      <c r="B37" s="181">
        <v>1.5553990547464145E-2</v>
      </c>
      <c r="C37" s="73">
        <f t="shared" si="13"/>
        <v>1780591.6835044241</v>
      </c>
      <c r="D37" s="181">
        <v>1.4524641105794968E-2</v>
      </c>
      <c r="E37" s="73">
        <f t="shared" si="13"/>
        <v>347345.06459174474</v>
      </c>
      <c r="F37" s="101">
        <v>1.0073265818436389E-2</v>
      </c>
      <c r="G37" s="73">
        <f t="shared" si="1"/>
        <v>52527480.06317421</v>
      </c>
      <c r="H37" s="181">
        <v>3.0173169008556402E-2</v>
      </c>
      <c r="I37" s="73">
        <f t="shared" si="2"/>
        <v>728247.1767779598</v>
      </c>
      <c r="J37" s="181">
        <v>1.891439157024296E-2</v>
      </c>
      <c r="K37" s="73">
        <f t="shared" si="3"/>
        <v>5262890.8200011132</v>
      </c>
      <c r="L37" s="181">
        <v>2.828471879090658E-2</v>
      </c>
      <c r="M37" s="73">
        <f t="shared" si="4"/>
        <v>18990063.41858083</v>
      </c>
      <c r="N37" s="181">
        <v>2.6024314458275938E-2</v>
      </c>
      <c r="O37" s="73">
        <f t="shared" si="5"/>
        <v>291692.86549507658</v>
      </c>
      <c r="P37" s="181">
        <v>0</v>
      </c>
      <c r="Q37" s="73">
        <f t="shared" si="6"/>
        <v>0</v>
      </c>
      <c r="R37" s="181">
        <v>0</v>
      </c>
      <c r="S37" s="73">
        <f t="shared" si="7"/>
        <v>0</v>
      </c>
      <c r="T37" s="181">
        <v>7.1253402151907107E-3</v>
      </c>
      <c r="U37" s="73">
        <f t="shared" si="8"/>
        <v>18075489.913638357</v>
      </c>
      <c r="V37" s="181">
        <v>4.1361788010482975E-4</v>
      </c>
      <c r="W37" s="73">
        <f t="shared" si="9"/>
        <v>31101.357650348815</v>
      </c>
      <c r="X37" s="181">
        <v>1.2480709934853387E-2</v>
      </c>
      <c r="Y37" s="73">
        <f t="shared" si="10"/>
        <v>4476041.9398418032</v>
      </c>
      <c r="Z37" s="73">
        <v>1750000</v>
      </c>
      <c r="AA37" s="73">
        <f t="shared" si="11"/>
        <v>6226041.9398418032</v>
      </c>
      <c r="AB37" s="74">
        <f t="shared" si="12"/>
        <v>104260944.30325586</v>
      </c>
    </row>
    <row r="38" spans="1:28" ht="14">
      <c r="A38" s="37" t="s">
        <v>123</v>
      </c>
      <c r="B38" s="181">
        <v>4.0000007882070787E-3</v>
      </c>
      <c r="C38" s="73">
        <f t="shared" si="13"/>
        <v>457912.59264034108</v>
      </c>
      <c r="D38" s="181">
        <v>4.9997117070213551E-3</v>
      </c>
      <c r="E38" s="73">
        <f t="shared" si="13"/>
        <v>119564.06861733507</v>
      </c>
      <c r="F38" s="101">
        <v>9.5836384814364825E-4</v>
      </c>
      <c r="G38" s="73">
        <f t="shared" si="1"/>
        <v>4997429.7148495615</v>
      </c>
      <c r="H38" s="181">
        <v>0</v>
      </c>
      <c r="I38" s="73">
        <f t="shared" si="2"/>
        <v>0</v>
      </c>
      <c r="J38" s="181">
        <v>3.2486512752591336E-3</v>
      </c>
      <c r="K38" s="73">
        <f t="shared" si="3"/>
        <v>903930.58166589413</v>
      </c>
      <c r="L38" s="181">
        <v>1.6107108197156446E-2</v>
      </c>
      <c r="M38" s="73">
        <f t="shared" si="4"/>
        <v>10814143.439611696</v>
      </c>
      <c r="N38" s="181">
        <v>1.1692857485385576E-2</v>
      </c>
      <c r="O38" s="73">
        <f t="shared" si="5"/>
        <v>131059.09518600354</v>
      </c>
      <c r="P38" s="181">
        <v>0</v>
      </c>
      <c r="Q38" s="73">
        <f t="shared" si="6"/>
        <v>0</v>
      </c>
      <c r="R38" s="181">
        <v>6.4205040000000005E-2</v>
      </c>
      <c r="S38" s="73">
        <f t="shared" si="7"/>
        <v>1926151.2000000002</v>
      </c>
      <c r="T38" s="181">
        <v>0</v>
      </c>
      <c r="U38" s="73">
        <f t="shared" si="8"/>
        <v>0</v>
      </c>
      <c r="V38" s="181">
        <v>0</v>
      </c>
      <c r="W38" s="73">
        <f t="shared" si="9"/>
        <v>0</v>
      </c>
      <c r="X38" s="181">
        <v>1.1535523047198452E-3</v>
      </c>
      <c r="Y38" s="73">
        <f t="shared" si="10"/>
        <v>413706.31339713559</v>
      </c>
      <c r="Z38" s="73">
        <v>1750000</v>
      </c>
      <c r="AA38" s="73">
        <f t="shared" si="11"/>
        <v>2163706.3133971356</v>
      </c>
      <c r="AB38" s="74">
        <f t="shared" si="12"/>
        <v>21513897.005967963</v>
      </c>
    </row>
    <row r="39" spans="1:28" ht="14">
      <c r="A39" s="37" t="s">
        <v>60</v>
      </c>
      <c r="B39" s="181">
        <v>0</v>
      </c>
      <c r="C39" s="73">
        <f t="shared" si="13"/>
        <v>0</v>
      </c>
      <c r="D39" s="181">
        <v>0</v>
      </c>
      <c r="E39" s="73">
        <f t="shared" si="13"/>
        <v>0</v>
      </c>
      <c r="F39" s="101"/>
      <c r="G39" s="73">
        <f t="shared" si="1"/>
        <v>0</v>
      </c>
      <c r="H39" s="181">
        <v>0</v>
      </c>
      <c r="I39" s="73">
        <f t="shared" si="2"/>
        <v>0</v>
      </c>
      <c r="J39" s="181">
        <v>3.6626381375819872E-5</v>
      </c>
      <c r="K39" s="73">
        <f t="shared" si="3"/>
        <v>10191.21580500229</v>
      </c>
      <c r="L39" s="181">
        <v>4.6732749716112403E-4</v>
      </c>
      <c r="M39" s="73">
        <f t="shared" si="4"/>
        <v>313758.77815654787</v>
      </c>
      <c r="N39" s="181">
        <v>1.3547706155717786E-3</v>
      </c>
      <c r="O39" s="73">
        <f t="shared" si="5"/>
        <v>15184.911924509563</v>
      </c>
      <c r="P39" s="181">
        <v>0</v>
      </c>
      <c r="Q39" s="73">
        <f t="shared" si="6"/>
        <v>0</v>
      </c>
      <c r="R39" s="181">
        <v>0</v>
      </c>
      <c r="S39" s="73">
        <f t="shared" si="7"/>
        <v>0</v>
      </c>
      <c r="T39" s="181">
        <v>0</v>
      </c>
      <c r="U39" s="73">
        <f t="shared" si="8"/>
        <v>0</v>
      </c>
      <c r="V39" s="181">
        <v>0</v>
      </c>
      <c r="W39" s="73">
        <f t="shared" si="9"/>
        <v>0</v>
      </c>
      <c r="X39" s="181">
        <v>0</v>
      </c>
      <c r="Y39" s="73">
        <f t="shared" si="10"/>
        <v>0</v>
      </c>
      <c r="Z39" s="73">
        <v>500000</v>
      </c>
      <c r="AA39" s="73">
        <f t="shared" si="11"/>
        <v>500000</v>
      </c>
      <c r="AB39" s="74">
        <f t="shared" si="12"/>
        <v>839134.90588605974</v>
      </c>
    </row>
    <row r="40" spans="1:28" ht="14">
      <c r="A40" s="37" t="s">
        <v>61</v>
      </c>
      <c r="B40" s="181">
        <v>4.0000007882070787E-3</v>
      </c>
      <c r="C40" s="73">
        <f t="shared" si="13"/>
        <v>457912.59264034108</v>
      </c>
      <c r="D40" s="181">
        <v>4.9997117070213551E-3</v>
      </c>
      <c r="E40" s="73">
        <f t="shared" si="13"/>
        <v>119564.06861733507</v>
      </c>
      <c r="F40" s="101">
        <v>2.304178123876695E-3</v>
      </c>
      <c r="G40" s="73">
        <f t="shared" si="1"/>
        <v>12015236.43329432</v>
      </c>
      <c r="H40" s="181">
        <v>0</v>
      </c>
      <c r="I40" s="73">
        <f t="shared" si="2"/>
        <v>0</v>
      </c>
      <c r="J40" s="181">
        <v>4.7748333585096014E-3</v>
      </c>
      <c r="K40" s="73">
        <f t="shared" si="3"/>
        <v>1328587.6289602728</v>
      </c>
      <c r="L40" s="181">
        <v>1.2341234079197157E-2</v>
      </c>
      <c r="M40" s="73">
        <f t="shared" si="4"/>
        <v>8285775.0702775605</v>
      </c>
      <c r="N40" s="181">
        <v>1.2587684419092166E-2</v>
      </c>
      <c r="O40" s="73">
        <f t="shared" si="5"/>
        <v>141088.74007188613</v>
      </c>
      <c r="P40" s="181">
        <v>0</v>
      </c>
      <c r="Q40" s="73">
        <f t="shared" si="6"/>
        <v>0</v>
      </c>
      <c r="R40" s="181">
        <v>1.8680760000000001E-2</v>
      </c>
      <c r="S40" s="73">
        <f t="shared" si="7"/>
        <v>560422.80000000005</v>
      </c>
      <c r="T40" s="181">
        <v>0</v>
      </c>
      <c r="U40" s="73">
        <f t="shared" si="8"/>
        <v>0</v>
      </c>
      <c r="V40" s="181">
        <v>0</v>
      </c>
      <c r="W40" s="73">
        <f t="shared" si="9"/>
        <v>0</v>
      </c>
      <c r="X40" s="181">
        <v>3.3709029813361584E-3</v>
      </c>
      <c r="Y40" s="73">
        <f t="shared" si="10"/>
        <v>1208929.8764538318</v>
      </c>
      <c r="Z40" s="73">
        <v>1750000</v>
      </c>
      <c r="AA40" s="73">
        <f t="shared" si="11"/>
        <v>2958929.8764538318</v>
      </c>
      <c r="AB40" s="74">
        <f t="shared" si="12"/>
        <v>25867517.210315548</v>
      </c>
    </row>
    <row r="41" spans="1:28" ht="14">
      <c r="A41" s="37" t="s">
        <v>62</v>
      </c>
      <c r="B41" s="181">
        <v>1.0824898211735486E-2</v>
      </c>
      <c r="C41" s="73">
        <f t="shared" si="13"/>
        <v>1239214.0571115741</v>
      </c>
      <c r="D41" s="181">
        <v>1.0009506029949908E-2</v>
      </c>
      <c r="E41" s="73">
        <f t="shared" si="13"/>
        <v>239369.25485320753</v>
      </c>
      <c r="F41" s="101">
        <v>8.265558332867547E-3</v>
      </c>
      <c r="G41" s="73">
        <f t="shared" si="1"/>
        <v>43101111.23505494</v>
      </c>
      <c r="H41" s="181">
        <v>0</v>
      </c>
      <c r="I41" s="73">
        <f t="shared" si="2"/>
        <v>0</v>
      </c>
      <c r="J41" s="181">
        <v>8.0205754970083427E-3</v>
      </c>
      <c r="K41" s="73">
        <f t="shared" si="3"/>
        <v>2231708.7492647725</v>
      </c>
      <c r="L41" s="181">
        <v>1.0390934629218185E-2</v>
      </c>
      <c r="M41" s="73">
        <f t="shared" si="4"/>
        <v>6976364.4830939602</v>
      </c>
      <c r="N41" s="181">
        <v>8.9135992684615528E-3</v>
      </c>
      <c r="O41" s="73">
        <f t="shared" si="5"/>
        <v>99907.850278282262</v>
      </c>
      <c r="P41" s="181">
        <v>0</v>
      </c>
      <c r="Q41" s="73">
        <f t="shared" si="6"/>
        <v>0</v>
      </c>
      <c r="R41" s="181">
        <v>3.3834799999999999E-3</v>
      </c>
      <c r="S41" s="73">
        <f t="shared" si="7"/>
        <v>101504.4</v>
      </c>
      <c r="T41" s="181">
        <v>9.8586354362418692E-4</v>
      </c>
      <c r="U41" s="73">
        <f t="shared" si="8"/>
        <v>2500928.5172112733</v>
      </c>
      <c r="V41" s="181">
        <v>0</v>
      </c>
      <c r="W41" s="73">
        <f t="shared" si="9"/>
        <v>0</v>
      </c>
      <c r="X41" s="181">
        <v>1.0746402356736762E-2</v>
      </c>
      <c r="Y41" s="73">
        <f t="shared" si="10"/>
        <v>3854055.410489243</v>
      </c>
      <c r="Z41" s="73">
        <v>1750000</v>
      </c>
      <c r="AA41" s="73">
        <f t="shared" si="11"/>
        <v>5604055.4104892425</v>
      </c>
      <c r="AB41" s="74">
        <f t="shared" si="12"/>
        <v>62094163.957357243</v>
      </c>
    </row>
    <row r="42" spans="1:28" ht="14">
      <c r="A42" s="37" t="s">
        <v>63</v>
      </c>
      <c r="B42" s="181">
        <v>4.0000007882070787E-3</v>
      </c>
      <c r="C42" s="73">
        <f t="shared" si="13"/>
        <v>457912.59264034108</v>
      </c>
      <c r="D42" s="181">
        <v>4.9997117070213551E-3</v>
      </c>
      <c r="E42" s="73">
        <f t="shared" si="13"/>
        <v>119564.06861733507</v>
      </c>
      <c r="F42" s="101">
        <v>1.661727969849732E-3</v>
      </c>
      <c r="G42" s="73">
        <f t="shared" si="1"/>
        <v>8665152.3329153713</v>
      </c>
      <c r="H42" s="181">
        <v>0</v>
      </c>
      <c r="I42" s="73">
        <f t="shared" si="2"/>
        <v>0</v>
      </c>
      <c r="J42" s="181">
        <v>4.2874772126035828E-3</v>
      </c>
      <c r="K42" s="73">
        <f t="shared" si="3"/>
        <v>1192981.7768325661</v>
      </c>
      <c r="L42" s="181">
        <v>6.3390844658535936E-3</v>
      </c>
      <c r="M42" s="73">
        <f t="shared" si="4"/>
        <v>4255994.7974806055</v>
      </c>
      <c r="N42" s="181">
        <v>1.1432643546567131E-2</v>
      </c>
      <c r="O42" s="73">
        <f t="shared" si="5"/>
        <v>128142.49388311792</v>
      </c>
      <c r="P42" s="181">
        <v>0</v>
      </c>
      <c r="Q42" s="73">
        <f t="shared" si="6"/>
        <v>0</v>
      </c>
      <c r="R42" s="181">
        <v>0</v>
      </c>
      <c r="S42" s="73">
        <f t="shared" si="7"/>
        <v>0</v>
      </c>
      <c r="T42" s="181">
        <v>0</v>
      </c>
      <c r="U42" s="73">
        <f t="shared" si="8"/>
        <v>0</v>
      </c>
      <c r="V42" s="181">
        <v>0</v>
      </c>
      <c r="W42" s="73">
        <f t="shared" si="9"/>
        <v>0</v>
      </c>
      <c r="X42" s="181">
        <v>1.9802717383737476E-3</v>
      </c>
      <c r="Y42" s="73">
        <f t="shared" si="10"/>
        <v>710198.33002380037</v>
      </c>
      <c r="Z42" s="73">
        <v>1750000</v>
      </c>
      <c r="AA42" s="73">
        <f t="shared" si="11"/>
        <v>2460198.3300238005</v>
      </c>
      <c r="AB42" s="74">
        <f t="shared" si="12"/>
        <v>17279946.392393138</v>
      </c>
    </row>
    <row r="43" spans="1:28" ht="14">
      <c r="A43" s="37" t="s">
        <v>64</v>
      </c>
      <c r="B43" s="181">
        <v>3.87170788775432E-2</v>
      </c>
      <c r="C43" s="73">
        <f t="shared" ref="C43:E58" si="14">B43*C$67</f>
        <v>4432258.6186846942</v>
      </c>
      <c r="D43" s="181">
        <v>3.4746745857539799E-2</v>
      </c>
      <c r="E43" s="73">
        <f t="shared" si="14"/>
        <v>830940.37204298482</v>
      </c>
      <c r="F43" s="101">
        <v>7.9619534303066467E-2</v>
      </c>
      <c r="G43" s="73">
        <f t="shared" si="1"/>
        <v>415179503.46243495</v>
      </c>
      <c r="H43" s="181">
        <v>4.0435154138584548E-2</v>
      </c>
      <c r="I43" s="73">
        <f t="shared" si="2"/>
        <v>975926.22225578688</v>
      </c>
      <c r="J43" s="181">
        <v>2.7761775583581769E-2</v>
      </c>
      <c r="K43" s="73">
        <f t="shared" si="3"/>
        <v>7724657.350100887</v>
      </c>
      <c r="L43" s="181">
        <v>6.1351651496623439E-3</v>
      </c>
      <c r="M43" s="73">
        <f t="shared" si="4"/>
        <v>4119085.5082148253</v>
      </c>
      <c r="N43" s="181">
        <v>1.1345968375056279E-2</v>
      </c>
      <c r="O43" s="73">
        <f t="shared" si="5"/>
        <v>127170.99743175846</v>
      </c>
      <c r="P43" s="181">
        <v>0</v>
      </c>
      <c r="Q43" s="73">
        <f t="shared" si="6"/>
        <v>0</v>
      </c>
      <c r="R43" s="181">
        <v>0</v>
      </c>
      <c r="S43" s="73">
        <f t="shared" si="7"/>
        <v>0</v>
      </c>
      <c r="T43" s="181">
        <v>7.0630846897513783E-2</v>
      </c>
      <c r="U43" s="73">
        <f t="shared" si="8"/>
        <v>179175607.35779893</v>
      </c>
      <c r="V43" s="181">
        <v>0</v>
      </c>
      <c r="W43" s="73">
        <f t="shared" si="9"/>
        <v>0</v>
      </c>
      <c r="X43" s="181">
        <v>4.5934029447025619E-2</v>
      </c>
      <c r="Y43" s="73">
        <f t="shared" si="10"/>
        <v>16473633.578860218</v>
      </c>
      <c r="Z43" s="73">
        <v>1750000</v>
      </c>
      <c r="AA43" s="73">
        <f t="shared" si="11"/>
        <v>18223633.578860216</v>
      </c>
      <c r="AB43" s="74">
        <f t="shared" si="12"/>
        <v>630788783.46782494</v>
      </c>
    </row>
    <row r="44" spans="1:28" ht="14">
      <c r="A44" s="37" t="s">
        <v>65</v>
      </c>
      <c r="B44" s="181">
        <v>4.0000007882070787E-3</v>
      </c>
      <c r="C44" s="73">
        <f t="shared" si="14"/>
        <v>457912.59264034108</v>
      </c>
      <c r="D44" s="181">
        <v>4.9997117070213551E-3</v>
      </c>
      <c r="E44" s="73">
        <f t="shared" si="14"/>
        <v>119564.06861733507</v>
      </c>
      <c r="F44" s="101">
        <v>4.9537592046089334E-3</v>
      </c>
      <c r="G44" s="73">
        <f t="shared" si="1"/>
        <v>25831591.516389869</v>
      </c>
      <c r="H44" s="181">
        <v>0</v>
      </c>
      <c r="I44" s="73">
        <f t="shared" si="2"/>
        <v>0</v>
      </c>
      <c r="J44" s="181">
        <v>6.6862216586964091E-3</v>
      </c>
      <c r="K44" s="73">
        <f t="shared" si="3"/>
        <v>1860427.5192973567</v>
      </c>
      <c r="L44" s="181">
        <v>1.6648017346324252E-2</v>
      </c>
      <c r="M44" s="73">
        <f t="shared" si="4"/>
        <v>11177304.166869467</v>
      </c>
      <c r="N44" s="181">
        <v>1.3417128125593831E-2</v>
      </c>
      <c r="O44" s="73">
        <f t="shared" si="5"/>
        <v>150385.53872163457</v>
      </c>
      <c r="P44" s="181">
        <v>0</v>
      </c>
      <c r="Q44" s="73">
        <f t="shared" si="6"/>
        <v>0</v>
      </c>
      <c r="R44" s="181">
        <v>2.4074000000000002E-2</v>
      </c>
      <c r="S44" s="73">
        <f t="shared" si="7"/>
        <v>722220</v>
      </c>
      <c r="T44" s="181">
        <v>1.8145953140976613E-3</v>
      </c>
      <c r="U44" s="73">
        <f t="shared" si="8"/>
        <v>4603246.7653096914</v>
      </c>
      <c r="V44" s="181">
        <v>0</v>
      </c>
      <c r="W44" s="73">
        <f t="shared" si="9"/>
        <v>0</v>
      </c>
      <c r="X44" s="181">
        <v>4.6435670553755552E-3</v>
      </c>
      <c r="Y44" s="73">
        <f t="shared" si="10"/>
        <v>1665354.0542822378</v>
      </c>
      <c r="Z44" s="73">
        <v>1750000</v>
      </c>
      <c r="AA44" s="73">
        <f t="shared" si="11"/>
        <v>3415354.0542822378</v>
      </c>
      <c r="AB44" s="74">
        <f t="shared" si="12"/>
        <v>48338006.222127937</v>
      </c>
    </row>
    <row r="45" spans="1:28" ht="14">
      <c r="A45" s="37" t="s">
        <v>66</v>
      </c>
      <c r="B45" s="181">
        <v>7.3115768224293026E-2</v>
      </c>
      <c r="C45" s="73">
        <f t="shared" si="14"/>
        <v>8370156.0982650006</v>
      </c>
      <c r="D45" s="181">
        <v>6.8629442085214168E-2</v>
      </c>
      <c r="E45" s="73">
        <f t="shared" si="14"/>
        <v>1641217.6948367639</v>
      </c>
      <c r="F45" s="101">
        <v>0.13316867375016542</v>
      </c>
      <c r="G45" s="73">
        <f t="shared" si="1"/>
        <v>694413805.96238029</v>
      </c>
      <c r="H45" s="181">
        <v>0.10522978928599463</v>
      </c>
      <c r="I45" s="73">
        <f t="shared" si="2"/>
        <v>2539782.842787703</v>
      </c>
      <c r="J45" s="181">
        <v>6.0978062188037807E-2</v>
      </c>
      <c r="K45" s="73">
        <f t="shared" si="3"/>
        <v>16967021.250409633</v>
      </c>
      <c r="L45" s="181">
        <v>3.3164713848356689E-2</v>
      </c>
      <c r="M45" s="73">
        <f t="shared" si="4"/>
        <v>22266440.896766402</v>
      </c>
      <c r="N45" s="181">
        <v>3.185218340880825E-2</v>
      </c>
      <c r="O45" s="73">
        <f t="shared" si="5"/>
        <v>357014.38613055903</v>
      </c>
      <c r="P45" s="181">
        <v>0.01</v>
      </c>
      <c r="Q45" s="73">
        <f t="shared" si="6"/>
        <v>200000</v>
      </c>
      <c r="R45" s="181">
        <v>2.2762400000000001E-3</v>
      </c>
      <c r="S45" s="73">
        <f t="shared" si="7"/>
        <v>68287.199999999997</v>
      </c>
      <c r="T45" s="181">
        <v>0.2894780332818534</v>
      </c>
      <c r="U45" s="73">
        <f t="shared" si="8"/>
        <v>734344903.23013473</v>
      </c>
      <c r="V45" s="181">
        <v>0.11208081801001353</v>
      </c>
      <c r="W45" s="73">
        <f t="shared" si="9"/>
        <v>8427743.9983726256</v>
      </c>
      <c r="X45" s="181">
        <v>9.0795984923444178E-2</v>
      </c>
      <c r="Y45" s="73">
        <f t="shared" si="10"/>
        <v>32562781.973776747</v>
      </c>
      <c r="Z45" s="73">
        <v>1750000</v>
      </c>
      <c r="AA45" s="73">
        <f t="shared" si="11"/>
        <v>34312781.973776743</v>
      </c>
      <c r="AB45" s="74">
        <f t="shared" si="12"/>
        <v>1523909155.5338607</v>
      </c>
    </row>
    <row r="46" spans="1:28" ht="14">
      <c r="A46" s="37" t="s">
        <v>67</v>
      </c>
      <c r="B46" s="181">
        <v>1.9700860587946744E-2</v>
      </c>
      <c r="C46" s="73">
        <f t="shared" si="14"/>
        <v>2255317.5928538293</v>
      </c>
      <c r="D46" s="181">
        <v>2.2419809485698858E-2</v>
      </c>
      <c r="E46" s="73">
        <f t="shared" si="14"/>
        <v>536151.64169789373</v>
      </c>
      <c r="F46" s="101">
        <v>1.3821338551240644E-2</v>
      </c>
      <c r="G46" s="73">
        <f t="shared" si="1"/>
        <v>72071967.352229223</v>
      </c>
      <c r="H46" s="181">
        <v>1.5244345261458065E-2</v>
      </c>
      <c r="I46" s="73">
        <f t="shared" si="2"/>
        <v>367931.23703171976</v>
      </c>
      <c r="J46" s="181">
        <v>2.8043783184064711E-2</v>
      </c>
      <c r="K46" s="73">
        <f t="shared" si="3"/>
        <v>7803125.3889082884</v>
      </c>
      <c r="L46" s="181">
        <v>4.2778040334659893E-2</v>
      </c>
      <c r="M46" s="73">
        <f t="shared" si="4"/>
        <v>28720727.431766786</v>
      </c>
      <c r="N46" s="181">
        <v>3.9071094649946778E-2</v>
      </c>
      <c r="O46" s="73">
        <f t="shared" si="5"/>
        <v>437927.36883595685</v>
      </c>
      <c r="P46" s="181">
        <v>7.2499999999999995E-2</v>
      </c>
      <c r="Q46" s="73">
        <f t="shared" si="6"/>
        <v>1450000</v>
      </c>
      <c r="R46" s="181">
        <v>2.251676E-2</v>
      </c>
      <c r="S46" s="73">
        <f t="shared" si="7"/>
        <v>675502.8</v>
      </c>
      <c r="T46" s="181">
        <v>2.7376326272431062E-4</v>
      </c>
      <c r="U46" s="73">
        <f t="shared" si="8"/>
        <v>694479.83459770272</v>
      </c>
      <c r="V46" s="181">
        <v>5.9437333675046427E-3</v>
      </c>
      <c r="W46" s="73">
        <f t="shared" si="9"/>
        <v>446929.85031068412</v>
      </c>
      <c r="X46" s="181">
        <v>1.9061456754146635E-2</v>
      </c>
      <c r="Y46" s="73">
        <f t="shared" si="10"/>
        <v>6836139.9560916414</v>
      </c>
      <c r="Z46" s="73">
        <v>1750000</v>
      </c>
      <c r="AA46" s="73">
        <f t="shared" si="11"/>
        <v>8586139.9560916424</v>
      </c>
      <c r="AB46" s="74">
        <f t="shared" si="12"/>
        <v>124046200.45432372</v>
      </c>
    </row>
    <row r="47" spans="1:28" ht="14">
      <c r="A47" s="37" t="s">
        <v>68</v>
      </c>
      <c r="B47" s="181">
        <v>4.0000007882070787E-3</v>
      </c>
      <c r="C47" s="73">
        <f t="shared" si="14"/>
        <v>457912.59264034108</v>
      </c>
      <c r="D47" s="181">
        <v>4.9997117070213551E-3</v>
      </c>
      <c r="E47" s="73">
        <f t="shared" si="14"/>
        <v>119564.06861733507</v>
      </c>
      <c r="F47" s="101">
        <v>1.0730143415897916E-3</v>
      </c>
      <c r="G47" s="73">
        <f t="shared" si="1"/>
        <v>5595279.6691020522</v>
      </c>
      <c r="H47" s="181">
        <v>0</v>
      </c>
      <c r="I47" s="73">
        <f t="shared" si="2"/>
        <v>0</v>
      </c>
      <c r="J47" s="181">
        <v>2.2427657769866168E-3</v>
      </c>
      <c r="K47" s="73">
        <f t="shared" si="3"/>
        <v>624044.9963870506</v>
      </c>
      <c r="L47" s="181">
        <v>8.2667303465522625E-3</v>
      </c>
      <c r="M47" s="73">
        <f t="shared" si="4"/>
        <v>5550196.0159421628</v>
      </c>
      <c r="N47" s="181">
        <v>9.2137591558893468E-3</v>
      </c>
      <c r="O47" s="73">
        <f t="shared" si="5"/>
        <v>103272.18472831615</v>
      </c>
      <c r="P47" s="181">
        <v>0</v>
      </c>
      <c r="Q47" s="73">
        <f t="shared" si="6"/>
        <v>0</v>
      </c>
      <c r="R47" s="181">
        <v>2.9132999999999999E-2</v>
      </c>
      <c r="S47" s="73">
        <f t="shared" si="7"/>
        <v>873990</v>
      </c>
      <c r="T47" s="181">
        <v>0</v>
      </c>
      <c r="U47" s="73">
        <f t="shared" si="8"/>
        <v>0</v>
      </c>
      <c r="V47" s="181">
        <v>0</v>
      </c>
      <c r="W47" s="73">
        <f t="shared" si="9"/>
        <v>0</v>
      </c>
      <c r="X47" s="181">
        <v>1.2878967706320727E-3</v>
      </c>
      <c r="Y47" s="73">
        <f t="shared" si="10"/>
        <v>461887.18347164243</v>
      </c>
      <c r="Z47" s="73">
        <v>1750000</v>
      </c>
      <c r="AA47" s="73">
        <f t="shared" si="11"/>
        <v>2211887.1834716424</v>
      </c>
      <c r="AB47" s="74">
        <f t="shared" si="12"/>
        <v>15536146.7108889</v>
      </c>
    </row>
    <row r="48" spans="1:28" ht="14">
      <c r="A48" s="37" t="s">
        <v>124</v>
      </c>
      <c r="B48" s="181">
        <v>3.2451967997779205E-2</v>
      </c>
      <c r="C48" s="73">
        <f t="shared" si="14"/>
        <v>3715040.4684808147</v>
      </c>
      <c r="D48" s="181">
        <v>3.2282222807392222E-2</v>
      </c>
      <c r="E48" s="73">
        <f t="shared" si="14"/>
        <v>772003.29319841252</v>
      </c>
      <c r="F48" s="101">
        <v>2.1107319061288852E-2</v>
      </c>
      <c r="G48" s="73">
        <f t="shared" si="1"/>
        <v>110065027.68443829</v>
      </c>
      <c r="H48" s="181">
        <v>2.4723313110470657E-2</v>
      </c>
      <c r="I48" s="73">
        <f t="shared" si="2"/>
        <v>596711.69999386114</v>
      </c>
      <c r="J48" s="181">
        <v>3.8481342521327157E-2</v>
      </c>
      <c r="K48" s="73">
        <f t="shared" si="3"/>
        <v>10707354.954807553</v>
      </c>
      <c r="L48" s="181">
        <v>3.6832709799323467E-2</v>
      </c>
      <c r="M48" s="73">
        <f t="shared" si="4"/>
        <v>24729094.891769201</v>
      </c>
      <c r="N48" s="181">
        <v>3.6767230906331182E-2</v>
      </c>
      <c r="O48" s="73">
        <f t="shared" si="5"/>
        <v>412104.57076906139</v>
      </c>
      <c r="P48" s="181">
        <v>4.82E-2</v>
      </c>
      <c r="Q48" s="73">
        <f t="shared" si="6"/>
        <v>964000</v>
      </c>
      <c r="R48" s="181">
        <v>0</v>
      </c>
      <c r="S48" s="73">
        <f t="shared" si="7"/>
        <v>0</v>
      </c>
      <c r="T48" s="181">
        <v>1.0717561910671814E-2</v>
      </c>
      <c r="U48" s="73">
        <f t="shared" si="8"/>
        <v>27188201.035248101</v>
      </c>
      <c r="V48" s="181">
        <v>4.0460422987932693E-3</v>
      </c>
      <c r="W48" s="73">
        <f t="shared" si="9"/>
        <v>304235.90143471549</v>
      </c>
      <c r="X48" s="181">
        <v>2.7195023636875332E-2</v>
      </c>
      <c r="Y48" s="73">
        <f t="shared" si="10"/>
        <v>9753136.3992134221</v>
      </c>
      <c r="Z48" s="73">
        <v>1750000</v>
      </c>
      <c r="AA48" s="73">
        <f t="shared" si="11"/>
        <v>11503136.399213422</v>
      </c>
      <c r="AB48" s="74">
        <f t="shared" si="12"/>
        <v>190956910.89935344</v>
      </c>
    </row>
    <row r="49" spans="1:28" ht="14">
      <c r="A49" s="37" t="s">
        <v>69</v>
      </c>
      <c r="B49" s="181">
        <v>5.8878505751551744E-3</v>
      </c>
      <c r="C49" s="73">
        <f t="shared" si="14"/>
        <v>674030.09766823379</v>
      </c>
      <c r="D49" s="181">
        <v>7.3589128862422094E-3</v>
      </c>
      <c r="E49" s="73">
        <f t="shared" si="14"/>
        <v>175982.45995744504</v>
      </c>
      <c r="F49" s="101">
        <v>3.6506247648104748E-3</v>
      </c>
      <c r="G49" s="73">
        <f t="shared" si="1"/>
        <v>19036340.64741455</v>
      </c>
      <c r="H49" s="181">
        <v>0</v>
      </c>
      <c r="I49" s="73">
        <f t="shared" si="2"/>
        <v>0</v>
      </c>
      <c r="J49" s="181">
        <v>1.1242656138652208E-2</v>
      </c>
      <c r="K49" s="73">
        <f t="shared" si="3"/>
        <v>3128246.1064002295</v>
      </c>
      <c r="L49" s="181">
        <v>2.3808681391731416E-2</v>
      </c>
      <c r="M49" s="73">
        <f t="shared" si="4"/>
        <v>15984898.873632155</v>
      </c>
      <c r="N49" s="181">
        <v>2.16972449448826E-2</v>
      </c>
      <c r="O49" s="73">
        <f t="shared" si="5"/>
        <v>243193.01710976369</v>
      </c>
      <c r="P49" s="181">
        <v>0</v>
      </c>
      <c r="Q49" s="73">
        <f t="shared" si="6"/>
        <v>0</v>
      </c>
      <c r="R49" s="181">
        <v>0.31196952</v>
      </c>
      <c r="S49" s="73">
        <f t="shared" si="7"/>
        <v>9359085.5999999996</v>
      </c>
      <c r="T49" s="181">
        <v>0</v>
      </c>
      <c r="U49" s="73">
        <f t="shared" si="8"/>
        <v>0</v>
      </c>
      <c r="V49" s="181">
        <v>0</v>
      </c>
      <c r="W49" s="73">
        <f t="shared" si="9"/>
        <v>0</v>
      </c>
      <c r="X49" s="181">
        <v>5.0724698866904038E-3</v>
      </c>
      <c r="Y49" s="73">
        <f t="shared" si="10"/>
        <v>1819174.3955210799</v>
      </c>
      <c r="Z49" s="73">
        <v>1750000</v>
      </c>
      <c r="AA49" s="73">
        <f t="shared" si="11"/>
        <v>3569174.3955210801</v>
      </c>
      <c r="AB49" s="74">
        <f t="shared" si="12"/>
        <v>52170951.197703466</v>
      </c>
    </row>
    <row r="50" spans="1:28" ht="14">
      <c r="A50" s="37" t="s">
        <v>70</v>
      </c>
      <c r="B50" s="181">
        <v>1.0430034615709027E-2</v>
      </c>
      <c r="C50" s="73">
        <f t="shared" si="14"/>
        <v>1194010.8127700123</v>
      </c>
      <c r="D50" s="181">
        <v>1.0254456854500563E-2</v>
      </c>
      <c r="E50" s="73">
        <f t="shared" si="14"/>
        <v>245227.05604468772</v>
      </c>
      <c r="F50" s="101">
        <v>1.0797647081109122E-2</v>
      </c>
      <c r="G50" s="73">
        <f t="shared" si="1"/>
        <v>56304797.471351683</v>
      </c>
      <c r="H50" s="181">
        <v>3.2379666490978211E-2</v>
      </c>
      <c r="I50" s="73">
        <f t="shared" si="2"/>
        <v>781502.29100496357</v>
      </c>
      <c r="J50" s="181">
        <v>1.279385912845867E-2</v>
      </c>
      <c r="K50" s="73">
        <f t="shared" si="3"/>
        <v>3559865.169836265</v>
      </c>
      <c r="L50" s="181">
        <v>1.9314675082438278E-2</v>
      </c>
      <c r="M50" s="73">
        <f t="shared" si="4"/>
        <v>12967670.190969206</v>
      </c>
      <c r="N50" s="181">
        <v>1.713266661912094E-2</v>
      </c>
      <c r="O50" s="73">
        <f t="shared" si="5"/>
        <v>192031.05725284517</v>
      </c>
      <c r="P50" s="181">
        <v>0</v>
      </c>
      <c r="Q50" s="73">
        <f t="shared" si="6"/>
        <v>0</v>
      </c>
      <c r="R50" s="181">
        <v>3.0270160000000001E-2</v>
      </c>
      <c r="S50" s="73">
        <f t="shared" si="7"/>
        <v>908104.8</v>
      </c>
      <c r="T50" s="181">
        <v>8.4984352992122439E-3</v>
      </c>
      <c r="U50" s="73">
        <f t="shared" si="8"/>
        <v>21558743.427454375</v>
      </c>
      <c r="V50" s="181">
        <v>1.5550890752874839E-3</v>
      </c>
      <c r="W50" s="73">
        <f t="shared" si="9"/>
        <v>116932.52113861288</v>
      </c>
      <c r="X50" s="181">
        <v>1.296888142561676E-2</v>
      </c>
      <c r="Y50" s="73">
        <f t="shared" si="10"/>
        <v>4651118.203764095</v>
      </c>
      <c r="Z50" s="73">
        <v>1750000</v>
      </c>
      <c r="AA50" s="73">
        <f t="shared" si="11"/>
        <v>6401118.203764095</v>
      </c>
      <c r="AB50" s="74">
        <f t="shared" si="12"/>
        <v>104230003.00158675</v>
      </c>
    </row>
    <row r="51" spans="1:28" ht="14">
      <c r="A51" s="37" t="s">
        <v>71</v>
      </c>
      <c r="B51" s="181">
        <v>3.8979420466804568E-2</v>
      </c>
      <c r="C51" s="73">
        <f t="shared" si="14"/>
        <v>4462290.9920907766</v>
      </c>
      <c r="D51" s="181">
        <v>3.8464088493766736E-2</v>
      </c>
      <c r="E51" s="73">
        <f t="shared" si="14"/>
        <v>919837.61973984772</v>
      </c>
      <c r="F51" s="101">
        <v>3.7206189358812446E-2</v>
      </c>
      <c r="G51" s="73">
        <f t="shared" si="1"/>
        <v>194013282.7821143</v>
      </c>
      <c r="H51" s="181">
        <v>6.4499882251354113E-2</v>
      </c>
      <c r="I51" s="73">
        <f t="shared" si="2"/>
        <v>1556742.5860617876</v>
      </c>
      <c r="J51" s="181">
        <v>4.6055740334290184E-2</v>
      </c>
      <c r="K51" s="73">
        <f t="shared" si="3"/>
        <v>12814915.674846489</v>
      </c>
      <c r="L51" s="181">
        <v>3.4772701679614118E-2</v>
      </c>
      <c r="M51" s="73">
        <f t="shared" si="4"/>
        <v>23346027.054847702</v>
      </c>
      <c r="N51" s="181">
        <v>3.4646232932174885E-2</v>
      </c>
      <c r="O51" s="73">
        <f t="shared" si="5"/>
        <v>388331.41901965358</v>
      </c>
      <c r="P51" s="181">
        <v>0.2394</v>
      </c>
      <c r="Q51" s="73">
        <f t="shared" si="6"/>
        <v>4788000</v>
      </c>
      <c r="R51" s="181">
        <v>0</v>
      </c>
      <c r="S51" s="73">
        <f t="shared" si="7"/>
        <v>0</v>
      </c>
      <c r="T51" s="181">
        <v>7.1353615507044804E-2</v>
      </c>
      <c r="U51" s="73">
        <f t="shared" si="8"/>
        <v>181009119.34696966</v>
      </c>
      <c r="V51" s="181">
        <v>4.1585074273887308E-3</v>
      </c>
      <c r="W51" s="73">
        <f t="shared" si="9"/>
        <v>312692.54307398264</v>
      </c>
      <c r="X51" s="181">
        <v>3.7109496836069823E-2</v>
      </c>
      <c r="Y51" s="73">
        <f t="shared" si="10"/>
        <v>13308831.394343793</v>
      </c>
      <c r="Z51" s="73">
        <v>1750000</v>
      </c>
      <c r="AA51" s="73">
        <f t="shared" si="11"/>
        <v>15058831.394343793</v>
      </c>
      <c r="AB51" s="74">
        <f t="shared" si="12"/>
        <v>438670071.41310799</v>
      </c>
    </row>
    <row r="52" spans="1:28" ht="14">
      <c r="A52" s="37" t="s">
        <v>72</v>
      </c>
      <c r="B52" s="181">
        <v>1.4794637478182498E-2</v>
      </c>
      <c r="C52" s="73">
        <f t="shared" si="14"/>
        <v>1693662.3674629596</v>
      </c>
      <c r="D52" s="181">
        <v>1.4481429894764116E-2</v>
      </c>
      <c r="E52" s="73">
        <f t="shared" si="14"/>
        <v>346311.70336944162</v>
      </c>
      <c r="F52" s="101">
        <v>9.8281934942025962E-3</v>
      </c>
      <c r="G52" s="73">
        <f t="shared" si="1"/>
        <v>51249539.834329486</v>
      </c>
      <c r="H52" s="181">
        <v>1.3559036928218183E-2</v>
      </c>
      <c r="I52" s="73">
        <f t="shared" si="2"/>
        <v>327255.32939555886</v>
      </c>
      <c r="J52" s="181">
        <v>1.9780960878317249E-2</v>
      </c>
      <c r="K52" s="73">
        <f t="shared" si="3"/>
        <v>5504011.9599236865</v>
      </c>
      <c r="L52" s="181">
        <v>3.1230813131054675E-3</v>
      </c>
      <c r="M52" s="73">
        <f t="shared" si="4"/>
        <v>2096804.0246638281</v>
      </c>
      <c r="N52" s="181">
        <v>8.7718099933269539E-3</v>
      </c>
      <c r="O52" s="73">
        <f t="shared" si="5"/>
        <v>98318.608800786649</v>
      </c>
      <c r="P52" s="181">
        <v>0</v>
      </c>
      <c r="Q52" s="73">
        <f t="shared" si="6"/>
        <v>0</v>
      </c>
      <c r="R52" s="181">
        <v>0</v>
      </c>
      <c r="S52" s="73">
        <f t="shared" si="7"/>
        <v>0</v>
      </c>
      <c r="T52" s="181">
        <v>3.0577604209948506E-3</v>
      </c>
      <c r="U52" s="73">
        <f t="shared" si="8"/>
        <v>7756895.2469360335</v>
      </c>
      <c r="V52" s="181">
        <v>0</v>
      </c>
      <c r="W52" s="73">
        <f t="shared" si="9"/>
        <v>0</v>
      </c>
      <c r="X52" s="181">
        <v>1.2562863940127837E-2</v>
      </c>
      <c r="Y52" s="73">
        <f t="shared" si="10"/>
        <v>4505505.3898421535</v>
      </c>
      <c r="Z52" s="73">
        <v>500000</v>
      </c>
      <c r="AA52" s="73">
        <f t="shared" si="11"/>
        <v>5005505.3898421535</v>
      </c>
      <c r="AB52" s="74">
        <f t="shared" si="12"/>
        <v>74078304.46472393</v>
      </c>
    </row>
    <row r="53" spans="1:28" ht="14">
      <c r="A53" s="37" t="s">
        <v>125</v>
      </c>
      <c r="B53" s="181">
        <v>4.7936502488168005E-3</v>
      </c>
      <c r="C53" s="73">
        <f t="shared" si="14"/>
        <v>548768.09527595504</v>
      </c>
      <c r="D53" s="181">
        <v>4.9997117070213551E-3</v>
      </c>
      <c r="E53" s="73">
        <f t="shared" si="14"/>
        <v>119564.06861733507</v>
      </c>
      <c r="F53" s="101">
        <v>5.5828812791076533E-3</v>
      </c>
      <c r="G53" s="73">
        <f t="shared" si="1"/>
        <v>29112175.769914895</v>
      </c>
      <c r="H53" s="181">
        <v>0</v>
      </c>
      <c r="I53" s="73">
        <f t="shared" si="2"/>
        <v>0</v>
      </c>
      <c r="J53" s="181">
        <v>3.7471662327974663E-3</v>
      </c>
      <c r="K53" s="73">
        <f t="shared" si="3"/>
        <v>1042641.3503373727</v>
      </c>
      <c r="L53" s="181">
        <v>1.2703851277863928E-3</v>
      </c>
      <c r="M53" s="73">
        <f t="shared" si="4"/>
        <v>852923.2452698627</v>
      </c>
      <c r="N53" s="181">
        <v>6.8931256508292602E-3</v>
      </c>
      <c r="O53" s="73">
        <f t="shared" si="5"/>
        <v>77261.423217570715</v>
      </c>
      <c r="P53" s="181">
        <v>0</v>
      </c>
      <c r="Q53" s="73">
        <f t="shared" si="6"/>
        <v>0</v>
      </c>
      <c r="R53" s="181">
        <v>0</v>
      </c>
      <c r="S53" s="73">
        <f t="shared" si="7"/>
        <v>0</v>
      </c>
      <c r="T53" s="181">
        <v>1.771381067032255E-3</v>
      </c>
      <c r="U53" s="73">
        <f t="shared" si="8"/>
        <v>4493621.3069644272</v>
      </c>
      <c r="V53" s="181">
        <v>0</v>
      </c>
      <c r="W53" s="73">
        <f t="shared" si="9"/>
        <v>0</v>
      </c>
      <c r="X53" s="181">
        <v>3.5305794028591148E-3</v>
      </c>
      <c r="Y53" s="73">
        <f t="shared" si="10"/>
        <v>1266195.7181624596</v>
      </c>
      <c r="Z53" s="73">
        <v>1750000</v>
      </c>
      <c r="AA53" s="73">
        <f t="shared" si="11"/>
        <v>3016195.7181624593</v>
      </c>
      <c r="AB53" s="74">
        <f t="shared" si="12"/>
        <v>39263150.977759883</v>
      </c>
    </row>
    <row r="54" spans="1:28" ht="14">
      <c r="A54" s="37" t="s">
        <v>73</v>
      </c>
      <c r="B54" s="181">
        <v>8.9473889509826127E-3</v>
      </c>
      <c r="C54" s="73">
        <f t="shared" si="14"/>
        <v>1024280.3161402486</v>
      </c>
      <c r="D54" s="181">
        <v>1.1054169792386718E-2</v>
      </c>
      <c r="E54" s="73">
        <f t="shared" si="14"/>
        <v>264351.54525179759</v>
      </c>
      <c r="F54" s="101">
        <v>5.0877573112362001E-3</v>
      </c>
      <c r="G54" s="73">
        <f t="shared" si="1"/>
        <v>26530330.435945094</v>
      </c>
      <c r="H54" s="181">
        <v>0</v>
      </c>
      <c r="I54" s="73">
        <f t="shared" si="2"/>
        <v>0</v>
      </c>
      <c r="J54" s="181">
        <v>1.5477248429854608E-2</v>
      </c>
      <c r="K54" s="73">
        <f t="shared" si="3"/>
        <v>4306512.7618753295</v>
      </c>
      <c r="L54" s="181">
        <v>2.0694859436017555E-2</v>
      </c>
      <c r="M54" s="73">
        <f t="shared" si="4"/>
        <v>13894311.484367173</v>
      </c>
      <c r="N54" s="181">
        <v>2.1785521722823543E-2</v>
      </c>
      <c r="O54" s="73">
        <f t="shared" si="5"/>
        <v>244182.46512598521</v>
      </c>
      <c r="P54" s="181">
        <v>0.01</v>
      </c>
      <c r="Q54" s="73">
        <f t="shared" si="6"/>
        <v>200000</v>
      </c>
      <c r="R54" s="181">
        <v>3.9773200000000003E-3</v>
      </c>
      <c r="S54" s="73">
        <f t="shared" si="7"/>
        <v>119319.6</v>
      </c>
      <c r="T54" s="181">
        <v>0</v>
      </c>
      <c r="U54" s="73">
        <f t="shared" si="8"/>
        <v>0</v>
      </c>
      <c r="V54" s="181">
        <v>0</v>
      </c>
      <c r="W54" s="73">
        <f t="shared" si="9"/>
        <v>0</v>
      </c>
      <c r="X54" s="181">
        <v>6.932355101314857E-3</v>
      </c>
      <c r="Y54" s="73">
        <f t="shared" si="10"/>
        <v>2486197.6872572899</v>
      </c>
      <c r="Z54" s="73">
        <v>1750000</v>
      </c>
      <c r="AA54" s="73">
        <f t="shared" si="11"/>
        <v>4236197.6872572899</v>
      </c>
      <c r="AB54" s="74">
        <f t="shared" si="12"/>
        <v>50819486.295962915</v>
      </c>
    </row>
    <row r="55" spans="1:28" ht="14">
      <c r="A55" s="37" t="s">
        <v>74</v>
      </c>
      <c r="B55" s="181">
        <v>4.0000007882070787E-3</v>
      </c>
      <c r="C55" s="73">
        <f t="shared" si="14"/>
        <v>457912.59264034108</v>
      </c>
      <c r="D55" s="181">
        <v>4.9997117070213551E-3</v>
      </c>
      <c r="E55" s="73">
        <f t="shared" si="14"/>
        <v>119564.06861733507</v>
      </c>
      <c r="F55" s="101">
        <v>8.2554396477156991E-4</v>
      </c>
      <c r="G55" s="73">
        <f t="shared" si="1"/>
        <v>4304834.6913914271</v>
      </c>
      <c r="H55" s="181">
        <v>0</v>
      </c>
      <c r="I55" s="73">
        <f t="shared" si="2"/>
        <v>0</v>
      </c>
      <c r="J55" s="181">
        <v>2.5060678999821845E-3</v>
      </c>
      <c r="K55" s="73">
        <f t="shared" si="3"/>
        <v>697308.27429128287</v>
      </c>
      <c r="L55" s="181">
        <v>1.0332246215349243E-2</v>
      </c>
      <c r="M55" s="73">
        <f t="shared" si="4"/>
        <v>6936961.6978109954</v>
      </c>
      <c r="N55" s="181">
        <v>1.0493065844960918E-2</v>
      </c>
      <c r="O55" s="73">
        <f t="shared" si="5"/>
        <v>117611.26115550082</v>
      </c>
      <c r="P55" s="181">
        <v>0</v>
      </c>
      <c r="Q55" s="73">
        <f t="shared" si="6"/>
        <v>0</v>
      </c>
      <c r="R55" s="181">
        <v>9.0322479999999997E-2</v>
      </c>
      <c r="S55" s="73">
        <f t="shared" si="7"/>
        <v>2709674.4</v>
      </c>
      <c r="T55" s="181">
        <v>0</v>
      </c>
      <c r="U55" s="73">
        <f t="shared" si="8"/>
        <v>0</v>
      </c>
      <c r="V55" s="181">
        <v>0</v>
      </c>
      <c r="W55" s="73">
        <f t="shared" si="9"/>
        <v>0</v>
      </c>
      <c r="X55" s="181">
        <v>1.130513386696108E-3</v>
      </c>
      <c r="Y55" s="73">
        <f t="shared" si="10"/>
        <v>405443.7094378171</v>
      </c>
      <c r="Z55" s="73">
        <v>1750000</v>
      </c>
      <c r="AA55" s="73">
        <f t="shared" si="11"/>
        <v>2155443.7094378173</v>
      </c>
      <c r="AB55" s="74">
        <f t="shared" si="12"/>
        <v>17499310.695344701</v>
      </c>
    </row>
    <row r="56" spans="1:28" ht="14">
      <c r="A56" s="37" t="s">
        <v>75</v>
      </c>
      <c r="B56" s="181">
        <v>1.3160299484534151E-2</v>
      </c>
      <c r="C56" s="73">
        <f t="shared" si="14"/>
        <v>1506566.4173500158</v>
      </c>
      <c r="D56" s="181">
        <v>1.4784519439610825E-2</v>
      </c>
      <c r="E56" s="73">
        <f t="shared" si="14"/>
        <v>353559.84511456604</v>
      </c>
      <c r="F56" s="101">
        <v>1.0184156599646804E-2</v>
      </c>
      <c r="G56" s="73">
        <f t="shared" si="1"/>
        <v>53105724.835446484</v>
      </c>
      <c r="H56" s="181">
        <v>1.3918697363551748E-2</v>
      </c>
      <c r="I56" s="73">
        <f t="shared" si="2"/>
        <v>335935.94549379253</v>
      </c>
      <c r="J56" s="181">
        <v>2.0853010788757006E-2</v>
      </c>
      <c r="K56" s="73">
        <f t="shared" si="3"/>
        <v>5802307.6577410456</v>
      </c>
      <c r="L56" s="181">
        <v>2.9848702844074523E-2</v>
      </c>
      <c r="M56" s="73">
        <f t="shared" si="4"/>
        <v>20040105.901762836</v>
      </c>
      <c r="N56" s="181">
        <v>2.8294921315431393E-2</v>
      </c>
      <c r="O56" s="73">
        <f t="shared" si="5"/>
        <v>317142.90459748305</v>
      </c>
      <c r="P56" s="181">
        <v>5.5500000000000001E-2</v>
      </c>
      <c r="Q56" s="73">
        <f t="shared" si="6"/>
        <v>1110000</v>
      </c>
      <c r="R56" s="181">
        <v>0</v>
      </c>
      <c r="S56" s="73">
        <f t="shared" si="7"/>
        <v>0</v>
      </c>
      <c r="T56" s="181">
        <v>1.7721107705689037E-3</v>
      </c>
      <c r="U56" s="73">
        <f t="shared" si="8"/>
        <v>4495472.4114055205</v>
      </c>
      <c r="V56" s="181">
        <v>0</v>
      </c>
      <c r="W56" s="73">
        <f t="shared" si="9"/>
        <v>0</v>
      </c>
      <c r="X56" s="181">
        <v>1.1199918138255164E-2</v>
      </c>
      <c r="Y56" s="73">
        <f t="shared" si="10"/>
        <v>4016702.8615599298</v>
      </c>
      <c r="Z56" s="73">
        <v>1750000</v>
      </c>
      <c r="AA56" s="73">
        <f t="shared" si="11"/>
        <v>5766702.8615599293</v>
      </c>
      <c r="AB56" s="74">
        <f t="shared" si="12"/>
        <v>92833518.780471668</v>
      </c>
    </row>
    <row r="57" spans="1:28" ht="14">
      <c r="A57" s="37" t="s">
        <v>76</v>
      </c>
      <c r="B57" s="181">
        <v>8.464520157969084E-2</v>
      </c>
      <c r="C57" s="73">
        <f t="shared" si="14"/>
        <v>9690024.0180437509</v>
      </c>
      <c r="D57" s="181">
        <v>8.1182167946613287E-2</v>
      </c>
      <c r="E57" s="73">
        <f t="shared" si="14"/>
        <v>1941405.9985181924</v>
      </c>
      <c r="F57" s="101">
        <v>5.8875060736558196E-2</v>
      </c>
      <c r="G57" s="73">
        <f t="shared" si="1"/>
        <v>307006549.29582411</v>
      </c>
      <c r="H57" s="181">
        <v>4.1053682168369347E-2</v>
      </c>
      <c r="I57" s="73">
        <f t="shared" si="2"/>
        <v>990854.75996825192</v>
      </c>
      <c r="J57" s="181">
        <v>7.0103185255398048E-2</v>
      </c>
      <c r="K57" s="73">
        <f t="shared" si="3"/>
        <v>19506068.104982801</v>
      </c>
      <c r="L57" s="181">
        <v>6.6199436086053401E-2</v>
      </c>
      <c r="M57" s="73">
        <f t="shared" si="4"/>
        <v>44445606.790073685</v>
      </c>
      <c r="N57" s="181">
        <v>5.3581177845863845E-2</v>
      </c>
      <c r="O57" s="73">
        <f t="shared" si="5"/>
        <v>600563.26661435328</v>
      </c>
      <c r="P57" s="181">
        <v>0</v>
      </c>
      <c r="Q57" s="73">
        <f t="shared" si="6"/>
        <v>0</v>
      </c>
      <c r="R57" s="181">
        <v>0</v>
      </c>
      <c r="S57" s="73">
        <f t="shared" si="7"/>
        <v>0</v>
      </c>
      <c r="T57" s="181">
        <v>1.1054676648710803E-2</v>
      </c>
      <c r="U57" s="73">
        <f t="shared" si="8"/>
        <v>28043390.242097713</v>
      </c>
      <c r="V57" s="181">
        <v>3.6757548140581596E-2</v>
      </c>
      <c r="W57" s="73">
        <f t="shared" si="9"/>
        <v>2763927.0593921146</v>
      </c>
      <c r="X57" s="181">
        <v>7.683320170728411E-2</v>
      </c>
      <c r="Y57" s="73">
        <f t="shared" si="10"/>
        <v>27555214.006996188</v>
      </c>
      <c r="Z57" s="73">
        <v>1750000</v>
      </c>
      <c r="AA57" s="73">
        <f t="shared" si="11"/>
        <v>29305214.006996188</v>
      </c>
      <c r="AB57" s="74">
        <f t="shared" si="12"/>
        <v>444293603.54251122</v>
      </c>
    </row>
    <row r="58" spans="1:28" ht="14">
      <c r="A58" s="37" t="s">
        <v>77</v>
      </c>
      <c r="B58" s="181">
        <v>9.2155201089031934E-3</v>
      </c>
      <c r="C58" s="73">
        <f t="shared" si="14"/>
        <v>1054975.468514482</v>
      </c>
      <c r="D58" s="181">
        <v>9.6119628884660593E-3</v>
      </c>
      <c r="E58" s="73">
        <f t="shared" si="14"/>
        <v>229862.33160801834</v>
      </c>
      <c r="F58" s="101">
        <v>1.0103858219381541E-2</v>
      </c>
      <c r="G58" s="73">
        <f t="shared" si="1"/>
        <v>52687005.460368633</v>
      </c>
      <c r="H58" s="181">
        <v>2.106359548293766E-2</v>
      </c>
      <c r="I58" s="73">
        <f t="shared" si="2"/>
        <v>508382.26302621432</v>
      </c>
      <c r="J58" s="181">
        <v>6.5972929600770268E-3</v>
      </c>
      <c r="K58" s="73">
        <f t="shared" si="3"/>
        <v>1835683.2905517223</v>
      </c>
      <c r="L58" s="181">
        <v>1.0106569188067519E-2</v>
      </c>
      <c r="M58" s="73">
        <f t="shared" si="4"/>
        <v>6785444.5096120257</v>
      </c>
      <c r="N58" s="181">
        <v>1.010905715031067E-2</v>
      </c>
      <c r="O58" s="73">
        <f t="shared" si="5"/>
        <v>113307.10948621703</v>
      </c>
      <c r="P58" s="181">
        <v>0</v>
      </c>
      <c r="Q58" s="73">
        <f t="shared" si="6"/>
        <v>0</v>
      </c>
      <c r="R58" s="181">
        <v>3.6342000000000002E-3</v>
      </c>
      <c r="S58" s="73">
        <f t="shared" si="7"/>
        <v>109026</v>
      </c>
      <c r="T58" s="181">
        <v>3.2487005688795921E-3</v>
      </c>
      <c r="U58" s="73">
        <f t="shared" si="8"/>
        <v>8241270.2540186793</v>
      </c>
      <c r="V58" s="181">
        <v>3.8061049303757073E-3</v>
      </c>
      <c r="W58" s="73">
        <f t="shared" si="9"/>
        <v>286194.18160638795</v>
      </c>
      <c r="X58" s="181">
        <v>9.3430598603610297E-3</v>
      </c>
      <c r="Y58" s="73">
        <f t="shared" si="10"/>
        <v>3350765.1407427518</v>
      </c>
      <c r="Z58" s="73">
        <v>1750000</v>
      </c>
      <c r="AA58" s="73">
        <f t="shared" si="11"/>
        <v>5100765.1407427518</v>
      </c>
      <c r="AB58" s="74">
        <f t="shared" si="12"/>
        <v>76951916.009535119</v>
      </c>
    </row>
    <row r="59" spans="1:28" ht="14">
      <c r="A59" s="37" t="s">
        <v>126</v>
      </c>
      <c r="B59" s="181">
        <v>4.0000007882070787E-3</v>
      </c>
      <c r="C59" s="73">
        <f t="shared" ref="C59:E66" si="15">B59*C$67</f>
        <v>457912.59264034108</v>
      </c>
      <c r="D59" s="181">
        <v>4.9997117070213551E-3</v>
      </c>
      <c r="E59" s="73">
        <f t="shared" si="15"/>
        <v>119564.06861733507</v>
      </c>
      <c r="F59" s="101">
        <v>5.7093363587805326E-4</v>
      </c>
      <c r="G59" s="73">
        <f t="shared" si="1"/>
        <v>2977158.1249342156</v>
      </c>
      <c r="H59" s="181">
        <v>0</v>
      </c>
      <c r="I59" s="73">
        <f t="shared" si="2"/>
        <v>0</v>
      </c>
      <c r="J59" s="181">
        <v>1.7614259900149726E-3</v>
      </c>
      <c r="K59" s="73">
        <f t="shared" si="3"/>
        <v>490113.18384385621</v>
      </c>
      <c r="L59" s="181">
        <v>5.6046311379420672E-3</v>
      </c>
      <c r="M59" s="73">
        <f t="shared" si="4"/>
        <v>3762890.5393781126</v>
      </c>
      <c r="N59" s="181">
        <v>1.0082677750285627E-2</v>
      </c>
      <c r="O59" s="73">
        <f t="shared" si="5"/>
        <v>113011.43665319457</v>
      </c>
      <c r="P59" s="181">
        <v>0</v>
      </c>
      <c r="Q59" s="73">
        <f t="shared" si="6"/>
        <v>0</v>
      </c>
      <c r="R59" s="181">
        <v>0</v>
      </c>
      <c r="S59" s="73">
        <f t="shared" si="7"/>
        <v>0</v>
      </c>
      <c r="T59" s="181">
        <v>0</v>
      </c>
      <c r="U59" s="73">
        <f t="shared" si="8"/>
        <v>0</v>
      </c>
      <c r="V59" s="181">
        <v>0</v>
      </c>
      <c r="W59" s="73">
        <f t="shared" si="9"/>
        <v>0</v>
      </c>
      <c r="X59" s="181">
        <v>4.4517802925752133E-4</v>
      </c>
      <c r="Y59" s="73">
        <f t="shared" si="10"/>
        <v>159657.22623584029</v>
      </c>
      <c r="Z59" s="73">
        <v>1750000</v>
      </c>
      <c r="AA59" s="73">
        <f t="shared" si="11"/>
        <v>1909657.2262358402</v>
      </c>
      <c r="AB59" s="74">
        <f t="shared" si="12"/>
        <v>9830307.1723028962</v>
      </c>
    </row>
    <row r="60" spans="1:28" ht="14">
      <c r="A60" s="37" t="s">
        <v>127</v>
      </c>
      <c r="B60" s="181">
        <v>0</v>
      </c>
      <c r="C60" s="73">
        <f t="shared" si="15"/>
        <v>0</v>
      </c>
      <c r="D60" s="181">
        <v>0</v>
      </c>
      <c r="E60" s="73">
        <f t="shared" si="15"/>
        <v>0</v>
      </c>
      <c r="F60" s="101">
        <v>2.2255374821272578E-4</v>
      </c>
      <c r="G60" s="73">
        <f t="shared" si="1"/>
        <v>1160516.1407368917</v>
      </c>
      <c r="H60" s="181">
        <v>0</v>
      </c>
      <c r="I60" s="73">
        <f t="shared" si="2"/>
        <v>0</v>
      </c>
      <c r="J60" s="181">
        <v>6.112177898163994E-4</v>
      </c>
      <c r="K60" s="73">
        <f t="shared" si="3"/>
        <v>170070.10154674397</v>
      </c>
      <c r="L60" s="181">
        <v>0</v>
      </c>
      <c r="M60" s="73">
        <f t="shared" si="4"/>
        <v>0</v>
      </c>
      <c r="N60" s="181">
        <v>0</v>
      </c>
      <c r="O60" s="73">
        <f t="shared" si="5"/>
        <v>0</v>
      </c>
      <c r="P60" s="181">
        <v>0</v>
      </c>
      <c r="Q60" s="73">
        <f t="shared" si="6"/>
        <v>0</v>
      </c>
      <c r="R60" s="181">
        <v>0</v>
      </c>
      <c r="S60" s="73">
        <f t="shared" si="7"/>
        <v>0</v>
      </c>
      <c r="T60" s="181">
        <v>0</v>
      </c>
      <c r="U60" s="73">
        <f t="shared" si="8"/>
        <v>0</v>
      </c>
      <c r="V60" s="181">
        <v>0</v>
      </c>
      <c r="W60" s="73">
        <f t="shared" si="9"/>
        <v>0</v>
      </c>
      <c r="X60" s="181">
        <v>3.2233232128070656E-4</v>
      </c>
      <c r="Y60" s="73">
        <f t="shared" si="10"/>
        <v>115600.23397306475</v>
      </c>
      <c r="Z60" s="73">
        <v>500000</v>
      </c>
      <c r="AA60" s="73">
        <f t="shared" si="11"/>
        <v>615600.23397306469</v>
      </c>
      <c r="AB60" s="74">
        <f t="shared" si="12"/>
        <v>1946186.4762567002</v>
      </c>
    </row>
    <row r="61" spans="1:28" ht="14">
      <c r="A61" s="37" t="s">
        <v>78</v>
      </c>
      <c r="B61" s="181">
        <v>2.463070175981024E-2</v>
      </c>
      <c r="C61" s="73">
        <f t="shared" si="15"/>
        <v>2819676.5697241719</v>
      </c>
      <c r="D61" s="181">
        <v>2.3924694469458208E-2</v>
      </c>
      <c r="E61" s="73">
        <f t="shared" si="15"/>
        <v>572139.75101361983</v>
      </c>
      <c r="F61" s="101">
        <v>2.5846443277347447E-2</v>
      </c>
      <c r="G61" s="73">
        <f t="shared" si="1"/>
        <v>134777395.7746675</v>
      </c>
      <c r="H61" s="181">
        <v>1.1496484361858411E-2</v>
      </c>
      <c r="I61" s="73">
        <f t="shared" si="2"/>
        <v>277474.41036177444</v>
      </c>
      <c r="J61" s="181">
        <v>2.2886042953027517E-2</v>
      </c>
      <c r="K61" s="73">
        <f t="shared" si="3"/>
        <v>6367994.704790418</v>
      </c>
      <c r="L61" s="181">
        <v>2.4224416189350242E-2</v>
      </c>
      <c r="M61" s="73">
        <f t="shared" si="4"/>
        <v>16264018.854652809</v>
      </c>
      <c r="N61" s="181">
        <v>2.4631576349096688E-2</v>
      </c>
      <c r="O61" s="73">
        <f t="shared" si="5"/>
        <v>276082.39588589541</v>
      </c>
      <c r="P61" s="181">
        <v>5.7500000000000002E-2</v>
      </c>
      <c r="Q61" s="73">
        <f t="shared" si="6"/>
        <v>1150000</v>
      </c>
      <c r="R61" s="181">
        <v>0</v>
      </c>
      <c r="S61" s="73">
        <f t="shared" si="7"/>
        <v>0</v>
      </c>
      <c r="T61" s="181">
        <v>1.5487923752844303E-4</v>
      </c>
      <c r="U61" s="73">
        <f t="shared" si="8"/>
        <v>392896.05986939417</v>
      </c>
      <c r="V61" s="181">
        <v>2.2905418088720417E-2</v>
      </c>
      <c r="W61" s="73">
        <f t="shared" si="9"/>
        <v>1722337.5351363211</v>
      </c>
      <c r="X61" s="181">
        <v>2.5820033804871172E-2</v>
      </c>
      <c r="Y61" s="73">
        <f t="shared" si="10"/>
        <v>9260014.4384410083</v>
      </c>
      <c r="Z61" s="73">
        <v>1750000</v>
      </c>
      <c r="AA61" s="73">
        <f t="shared" si="11"/>
        <v>11010014.438441008</v>
      </c>
      <c r="AB61" s="74">
        <f t="shared" si="12"/>
        <v>175630030.4945429</v>
      </c>
    </row>
    <row r="62" spans="1:28" ht="14">
      <c r="A62" s="37" t="s">
        <v>79</v>
      </c>
      <c r="B62" s="181">
        <v>2.2387623932778173E-2</v>
      </c>
      <c r="C62" s="73">
        <f t="shared" si="15"/>
        <v>2562893.2245062054</v>
      </c>
      <c r="D62" s="181">
        <v>2.1600105906749944E-2</v>
      </c>
      <c r="E62" s="73">
        <f t="shared" si="15"/>
        <v>516549.09245056676</v>
      </c>
      <c r="F62" s="101">
        <v>2.9429980671891919E-2</v>
      </c>
      <c r="G62" s="73">
        <f t="shared" si="1"/>
        <v>153463906.42973849</v>
      </c>
      <c r="H62" s="181">
        <v>2.4586993820999631E-2</v>
      </c>
      <c r="I62" s="73">
        <f t="shared" si="2"/>
        <v>593421.55378252023</v>
      </c>
      <c r="J62" s="181">
        <v>2.2272385993804541E-2</v>
      </c>
      <c r="K62" s="73">
        <f t="shared" si="3"/>
        <v>6197245.9093385264</v>
      </c>
      <c r="L62" s="181">
        <v>2.012247396976494E-2</v>
      </c>
      <c r="M62" s="73">
        <f t="shared" si="4"/>
        <v>13510017.888084162</v>
      </c>
      <c r="N62" s="181">
        <v>1.9011633598047473E-2</v>
      </c>
      <c r="O62" s="73">
        <f t="shared" si="5"/>
        <v>213091.41075927205</v>
      </c>
      <c r="P62" s="181">
        <v>0</v>
      </c>
      <c r="Q62" s="73">
        <f t="shared" si="6"/>
        <v>0</v>
      </c>
      <c r="R62" s="181">
        <v>7.3613239999999996E-2</v>
      </c>
      <c r="S62" s="73">
        <f t="shared" si="7"/>
        <v>2208397.1999999997</v>
      </c>
      <c r="T62" s="181">
        <v>1.9803562459634064E-2</v>
      </c>
      <c r="U62" s="73">
        <f t="shared" si="8"/>
        <v>50237473.956693292</v>
      </c>
      <c r="V62" s="181">
        <v>0.23092995813269934</v>
      </c>
      <c r="W62" s="73">
        <f t="shared" si="9"/>
        <v>17364421.524148937</v>
      </c>
      <c r="X62" s="181">
        <v>3.4930729575828538E-2</v>
      </c>
      <c r="Y62" s="73">
        <f t="shared" si="10"/>
        <v>12527445.264476271</v>
      </c>
      <c r="Z62" s="73">
        <v>1750000</v>
      </c>
      <c r="AA62" s="73">
        <f t="shared" si="11"/>
        <v>14277445.264476271</v>
      </c>
      <c r="AB62" s="74">
        <f t="shared" si="12"/>
        <v>261144863.45397824</v>
      </c>
    </row>
    <row r="63" spans="1:28" ht="14">
      <c r="A63" s="37" t="s">
        <v>80</v>
      </c>
      <c r="B63" s="181">
        <v>4.0000007882070787E-3</v>
      </c>
      <c r="C63" s="73">
        <f t="shared" si="15"/>
        <v>457912.59264034108</v>
      </c>
      <c r="D63" s="181">
        <v>4.9997117070213551E-3</v>
      </c>
      <c r="E63" s="73">
        <f t="shared" si="15"/>
        <v>119564.06861733507</v>
      </c>
      <c r="F63" s="101">
        <v>2.0569203164128758E-3</v>
      </c>
      <c r="G63" s="73">
        <f t="shared" si="1"/>
        <v>10725899.907671299</v>
      </c>
      <c r="H63" s="181">
        <v>1.0691397620355937E-2</v>
      </c>
      <c r="I63" s="73">
        <f t="shared" si="2"/>
        <v>258043.16843971174</v>
      </c>
      <c r="J63" s="181">
        <v>7.8379601658156682E-3</v>
      </c>
      <c r="K63" s="73">
        <f t="shared" si="3"/>
        <v>2180896.4063693546</v>
      </c>
      <c r="L63" s="181">
        <v>1.2442821810607473E-2</v>
      </c>
      <c r="M63" s="73">
        <f t="shared" si="4"/>
        <v>8353980.0072363773</v>
      </c>
      <c r="N63" s="181">
        <v>1.5601625084096115E-2</v>
      </c>
      <c r="O63" s="73">
        <f t="shared" si="5"/>
        <v>174870.41721910352</v>
      </c>
      <c r="P63" s="181">
        <v>9.4600000000000004E-2</v>
      </c>
      <c r="Q63" s="73">
        <f t="shared" si="6"/>
        <v>1892000</v>
      </c>
      <c r="R63" s="181">
        <v>0</v>
      </c>
      <c r="S63" s="73">
        <f t="shared" si="7"/>
        <v>0</v>
      </c>
      <c r="T63" s="181">
        <v>4.1894171525175039E-4</v>
      </c>
      <c r="U63" s="73">
        <f t="shared" si="8"/>
        <v>1062767.0426587041</v>
      </c>
      <c r="V63" s="181">
        <v>0</v>
      </c>
      <c r="W63" s="73">
        <f t="shared" si="9"/>
        <v>0</v>
      </c>
      <c r="X63" s="181">
        <v>2.288728734819731E-3</v>
      </c>
      <c r="Y63" s="73">
        <f t="shared" si="10"/>
        <v>820822.3618246062</v>
      </c>
      <c r="Z63" s="73">
        <v>1750000</v>
      </c>
      <c r="AA63" s="73">
        <f t="shared" si="11"/>
        <v>2570822.3618246061</v>
      </c>
      <c r="AB63" s="74">
        <f t="shared" si="12"/>
        <v>27796755.972676832</v>
      </c>
    </row>
    <row r="64" spans="1:28" ht="14">
      <c r="A64" s="37" t="s">
        <v>128</v>
      </c>
      <c r="B64" s="181">
        <v>1.2934234187714461E-2</v>
      </c>
      <c r="C64" s="73">
        <f t="shared" si="15"/>
        <v>1480686.8859064451</v>
      </c>
      <c r="D64" s="181">
        <v>1.3596298431638185E-2</v>
      </c>
      <c r="E64" s="73">
        <f t="shared" si="15"/>
        <v>325144.4990996577</v>
      </c>
      <c r="F64" s="101">
        <v>1.0263930968535605E-2</v>
      </c>
      <c r="G64" s="73">
        <f t="shared" si="1"/>
        <v>53521711.730549514</v>
      </c>
      <c r="H64" s="181">
        <v>1.266441635921187E-2</v>
      </c>
      <c r="I64" s="73">
        <f t="shared" si="2"/>
        <v>305663.1358980317</v>
      </c>
      <c r="J64" s="181">
        <v>1.7795865384135856E-2</v>
      </c>
      <c r="K64" s="73">
        <f t="shared" si="3"/>
        <v>4951663.1934114667</v>
      </c>
      <c r="L64" s="181">
        <v>2.5124145650849593E-2</v>
      </c>
      <c r="M64" s="73">
        <f t="shared" si="4"/>
        <v>16868087.77468504</v>
      </c>
      <c r="N64" s="181">
        <v>2.5371424307656154E-2</v>
      </c>
      <c r="O64" s="73">
        <f t="shared" si="5"/>
        <v>284374.96287777118</v>
      </c>
      <c r="P64" s="181">
        <v>0</v>
      </c>
      <c r="Q64" s="73">
        <f t="shared" si="6"/>
        <v>0</v>
      </c>
      <c r="R64" s="181">
        <v>6.8908360000000002E-2</v>
      </c>
      <c r="S64" s="73">
        <f t="shared" si="7"/>
        <v>2067250.8</v>
      </c>
      <c r="T64" s="181">
        <v>5.9351682511134686E-4</v>
      </c>
      <c r="U64" s="73">
        <f t="shared" si="8"/>
        <v>1505627.389272341</v>
      </c>
      <c r="V64" s="181">
        <v>0</v>
      </c>
      <c r="W64" s="73">
        <f t="shared" si="9"/>
        <v>0</v>
      </c>
      <c r="X64" s="181">
        <v>1.3852712230365367E-2</v>
      </c>
      <c r="Y64" s="73">
        <f t="shared" si="10"/>
        <v>4968092.4600707227</v>
      </c>
      <c r="Z64" s="73">
        <v>1750000</v>
      </c>
      <c r="AA64" s="73">
        <f t="shared" si="11"/>
        <v>6718092.4600707227</v>
      </c>
      <c r="AB64" s="74">
        <f t="shared" si="12"/>
        <v>88028302.831771001</v>
      </c>
    </row>
    <row r="65" spans="1:30" ht="14">
      <c r="A65" s="37" t="s">
        <v>133</v>
      </c>
      <c r="B65" s="181">
        <v>4.000010171624678E-3</v>
      </c>
      <c r="C65" s="73">
        <f t="shared" si="15"/>
        <v>457913.66683639959</v>
      </c>
      <c r="D65" s="181">
        <v>4.9997117070213551E-3</v>
      </c>
      <c r="E65" s="73">
        <f t="shared" si="15"/>
        <v>119564.06861733507</v>
      </c>
      <c r="F65" s="101">
        <v>4.2038719044038599E-4</v>
      </c>
      <c r="G65" s="73">
        <f t="shared" si="1"/>
        <v>2192127.1772910315</v>
      </c>
      <c r="H65" s="181">
        <v>0</v>
      </c>
      <c r="I65" s="73">
        <f t="shared" si="2"/>
        <v>0</v>
      </c>
      <c r="J65" s="181">
        <v>1.6345076162909359E-3</v>
      </c>
      <c r="K65" s="73">
        <f t="shared" si="3"/>
        <v>454798.40559782652</v>
      </c>
      <c r="L65" s="181">
        <v>1.0110157472044462E-2</v>
      </c>
      <c r="M65" s="73">
        <f t="shared" si="4"/>
        <v>6787853.6458240477</v>
      </c>
      <c r="N65" s="181">
        <v>9.3819278310489865E-3</v>
      </c>
      <c r="O65" s="73">
        <f t="shared" si="5"/>
        <v>105157.0990388342</v>
      </c>
      <c r="P65" s="181">
        <v>0</v>
      </c>
      <c r="Q65" s="73">
        <f t="shared" si="6"/>
        <v>0</v>
      </c>
      <c r="R65" s="181">
        <v>5.4818000000000002E-3</v>
      </c>
      <c r="S65" s="73">
        <f t="shared" si="7"/>
        <v>164454</v>
      </c>
      <c r="T65" s="181">
        <v>0</v>
      </c>
      <c r="U65" s="73">
        <f t="shared" si="8"/>
        <v>0</v>
      </c>
      <c r="V65" s="181">
        <v>0</v>
      </c>
      <c r="W65" s="73">
        <f t="shared" si="9"/>
        <v>0</v>
      </c>
      <c r="X65" s="181">
        <v>6.1852884349986189E-4</v>
      </c>
      <c r="Y65" s="73">
        <f t="shared" si="10"/>
        <v>221827.20846478449</v>
      </c>
      <c r="Z65" s="73">
        <v>1750000</v>
      </c>
      <c r="AA65" s="73">
        <f t="shared" si="11"/>
        <v>1971827.2084647845</v>
      </c>
      <c r="AB65" s="74">
        <f t="shared" si="12"/>
        <v>12253695.27167026</v>
      </c>
    </row>
    <row r="66" spans="1:30">
      <c r="A66" s="37" t="s">
        <v>106</v>
      </c>
      <c r="B66" s="181">
        <v>0</v>
      </c>
      <c r="C66" s="73">
        <f t="shared" si="15"/>
        <v>0</v>
      </c>
      <c r="D66" s="181">
        <v>0</v>
      </c>
      <c r="E66" s="73">
        <f t="shared" si="15"/>
        <v>0</v>
      </c>
      <c r="F66" s="181">
        <v>0</v>
      </c>
      <c r="G66" s="73">
        <f t="shared" si="1"/>
        <v>0</v>
      </c>
      <c r="H66" s="181">
        <v>0</v>
      </c>
      <c r="I66" s="73">
        <f t="shared" si="2"/>
        <v>0</v>
      </c>
      <c r="J66" s="181">
        <v>0</v>
      </c>
      <c r="K66" s="73">
        <f t="shared" si="3"/>
        <v>0</v>
      </c>
      <c r="L66" s="181">
        <v>0</v>
      </c>
      <c r="M66" s="73">
        <f t="shared" si="4"/>
        <v>0</v>
      </c>
      <c r="N66" s="181">
        <v>0</v>
      </c>
      <c r="O66" s="73">
        <f t="shared" si="5"/>
        <v>0</v>
      </c>
      <c r="P66" s="181">
        <v>0</v>
      </c>
      <c r="Q66" s="73">
        <f t="shared" si="6"/>
        <v>0</v>
      </c>
      <c r="R66" s="181">
        <v>0</v>
      </c>
      <c r="S66" s="73">
        <f t="shared" si="7"/>
        <v>0</v>
      </c>
      <c r="T66" s="181">
        <v>0</v>
      </c>
      <c r="U66" s="73">
        <f t="shared" si="8"/>
        <v>0</v>
      </c>
      <c r="V66" s="181">
        <v>0</v>
      </c>
      <c r="W66" s="73">
        <f t="shared" si="9"/>
        <v>0</v>
      </c>
      <c r="X66" s="181">
        <v>0</v>
      </c>
      <c r="Y66" s="73">
        <f t="shared" si="10"/>
        <v>0</v>
      </c>
      <c r="Z66" s="75">
        <v>0</v>
      </c>
      <c r="AA66" s="73">
        <f t="shared" si="11"/>
        <v>0</v>
      </c>
      <c r="AB66" s="74">
        <f t="shared" si="12"/>
        <v>0</v>
      </c>
      <c r="AD66" s="72" t="s">
        <v>151</v>
      </c>
    </row>
    <row r="67" spans="1:30" ht="12" thickBot="1">
      <c r="A67" s="133" t="s">
        <v>107</v>
      </c>
      <c r="B67" s="133"/>
      <c r="C67" s="126">
        <f>C70-C68</f>
        <v>114478125.60196804</v>
      </c>
      <c r="D67" s="126"/>
      <c r="E67" s="126">
        <f>E70-E68</f>
        <v>23914192.582229298</v>
      </c>
      <c r="F67" s="126"/>
      <c r="G67" s="126">
        <f>G70-G68</f>
        <v>5214543228.5760651</v>
      </c>
      <c r="H67" s="155"/>
      <c r="I67" s="126">
        <f>I70-I68</f>
        <v>24135588.030923966</v>
      </c>
      <c r="J67" s="126"/>
      <c r="K67" s="126">
        <f>K70-K68</f>
        <v>278247957.40619797</v>
      </c>
      <c r="L67" s="126"/>
      <c r="M67" s="126">
        <f>M70-M68</f>
        <v>671389507.49215353</v>
      </c>
      <c r="N67" s="126"/>
      <c r="O67" s="126">
        <f>O70-O68</f>
        <v>11208474.519578207</v>
      </c>
      <c r="P67" s="126"/>
      <c r="Q67" s="126">
        <f>Q70-Q68</f>
        <v>20000000</v>
      </c>
      <c r="R67" s="126"/>
      <c r="S67" s="126">
        <f>S70-S68</f>
        <v>30000000</v>
      </c>
      <c r="T67" s="126"/>
      <c r="U67" s="126">
        <f>U70-U68</f>
        <v>2536789734.6294732</v>
      </c>
      <c r="V67" s="126"/>
      <c r="W67" s="126">
        <f>W70-W68</f>
        <v>75193455.472636491</v>
      </c>
      <c r="X67" s="126"/>
      <c r="Y67" s="126">
        <f>Y70-Y68</f>
        <v>358636805.37451607</v>
      </c>
      <c r="Z67" s="126">
        <f>SUM(Z10:Z66)</f>
        <v>90500000</v>
      </c>
      <c r="AA67" s="126">
        <f t="shared" si="11"/>
        <v>449136805.37451607</v>
      </c>
      <c r="AB67" s="136">
        <f>SUM(C67+E67+G67+I67+K67+M67+O67+Q67+S67+U67+W67+AA67)</f>
        <v>9449037069.6857414</v>
      </c>
    </row>
    <row r="68" spans="1:30" ht="12" thickTop="1">
      <c r="A68" s="41" t="s">
        <v>108</v>
      </c>
      <c r="B68" s="41"/>
      <c r="C68" s="134">
        <f>C70*0.005</f>
        <v>575266.96282396</v>
      </c>
      <c r="D68" s="134"/>
      <c r="E68" s="134">
        <f>E70*0.005</f>
        <v>120171.82202125275</v>
      </c>
      <c r="F68" s="134">
        <f>G77*0.0075</f>
        <v>35797365.136154018</v>
      </c>
      <c r="G68" s="156">
        <f>'Program Totals'!J11*0.0075</f>
        <v>36203382.046385951</v>
      </c>
      <c r="H68" s="156"/>
      <c r="I68" s="76">
        <v>0</v>
      </c>
      <c r="J68" s="76"/>
      <c r="K68" s="134">
        <f>K70*0.005</f>
        <v>1398230.9417396882</v>
      </c>
      <c r="L68" s="76"/>
      <c r="M68" s="76">
        <f>'Program Totals'!J17*0.005</f>
        <v>3296610.1528171198</v>
      </c>
      <c r="N68" s="76"/>
      <c r="O68" s="76">
        <v>0</v>
      </c>
      <c r="P68" s="76"/>
      <c r="Q68" s="76">
        <v>0</v>
      </c>
      <c r="R68" s="76"/>
      <c r="S68" s="76">
        <v>0</v>
      </c>
      <c r="T68" s="76"/>
      <c r="U68" s="76">
        <f>(U70+W70)*0.01</f>
        <v>26383668.586890001</v>
      </c>
      <c r="V68" s="76"/>
      <c r="W68" s="76">
        <v>0</v>
      </c>
      <c r="X68" s="76"/>
      <c r="Y68" s="76">
        <f>AA75*0.0075</f>
        <v>5827683.5166840004</v>
      </c>
      <c r="Z68" s="76">
        <v>0</v>
      </c>
      <c r="AA68" s="76">
        <f>Y68</f>
        <v>5827683.5166840004</v>
      </c>
      <c r="AB68" s="74">
        <f t="shared" ref="AB68:AB75" si="16">SUM(C68+E68+G68+I68+K68+M68+O68+Q68+S68+U68+W68+AA68)</f>
        <v>73805014.029361963</v>
      </c>
    </row>
    <row r="69" spans="1:30">
      <c r="A69" s="41"/>
      <c r="B69" s="41"/>
      <c r="C69" s="76">
        <v>0</v>
      </c>
      <c r="D69" s="76"/>
      <c r="E69" s="76">
        <v>0</v>
      </c>
      <c r="F69" s="76"/>
      <c r="G69" s="156">
        <v>0</v>
      </c>
      <c r="H69" s="156"/>
      <c r="I69" s="76">
        <v>0</v>
      </c>
      <c r="J69" s="76"/>
      <c r="K69" s="76">
        <v>0</v>
      </c>
      <c r="L69" s="76"/>
      <c r="M69" s="76">
        <v>0</v>
      </c>
      <c r="N69" s="76"/>
      <c r="O69" s="76">
        <v>0</v>
      </c>
      <c r="P69" s="76"/>
      <c r="Q69" s="76">
        <v>0</v>
      </c>
      <c r="R69" s="76"/>
      <c r="S69" s="76">
        <v>0</v>
      </c>
      <c r="T69" s="76"/>
      <c r="U69" s="76">
        <v>0</v>
      </c>
      <c r="V69" s="76"/>
      <c r="W69" s="76">
        <v>0</v>
      </c>
      <c r="X69" s="76"/>
      <c r="Y69" s="76">
        <v>0</v>
      </c>
      <c r="Z69" s="76">
        <v>0</v>
      </c>
      <c r="AA69" s="76">
        <v>0</v>
      </c>
      <c r="AB69" s="74">
        <f>SUM(C69:Z69)</f>
        <v>0</v>
      </c>
    </row>
    <row r="70" spans="1:30" ht="12" thickBot="1">
      <c r="A70" s="135" t="s">
        <v>107</v>
      </c>
      <c r="B70" s="135"/>
      <c r="C70" s="126">
        <f>'Program Totals'!J9</f>
        <v>115053392.56479199</v>
      </c>
      <c r="D70" s="126"/>
      <c r="E70" s="126">
        <f>'Program Totals'!J10</f>
        <v>24034364.404250551</v>
      </c>
      <c r="F70" s="126"/>
      <c r="G70" s="126">
        <f>G77+G80+H79</f>
        <v>5250746610.6224508</v>
      </c>
      <c r="H70" s="155"/>
      <c r="I70" s="126">
        <f>'Program Totals'!J12</f>
        <v>24135588.030923966</v>
      </c>
      <c r="J70" s="126"/>
      <c r="K70" s="126">
        <f>'Program Totals'!J15</f>
        <v>279646188.34793764</v>
      </c>
      <c r="L70" s="126"/>
      <c r="M70" s="126">
        <f>M77+I79</f>
        <v>674686117.64497066</v>
      </c>
      <c r="N70" s="126"/>
      <c r="O70" s="126">
        <f>'Program Totals'!J23-O74</f>
        <v>11208474.519578207</v>
      </c>
      <c r="P70" s="126"/>
      <c r="Q70" s="126">
        <f>'Program Totals'!J21</f>
        <v>20000000</v>
      </c>
      <c r="R70" s="126"/>
      <c r="S70" s="126">
        <f>'Program Totals'!J19</f>
        <v>30000000</v>
      </c>
      <c r="T70" s="126"/>
      <c r="U70" s="126">
        <f>'Program Totals'!J37</f>
        <v>2563173403.2163634</v>
      </c>
      <c r="V70" s="126"/>
      <c r="W70" s="126">
        <f>'Program Totals'!J38</f>
        <v>75193455.472636491</v>
      </c>
      <c r="X70" s="126"/>
      <c r="Y70" s="126">
        <f>'Program Totals'!J40-Z67</f>
        <v>364464488.89120007</v>
      </c>
      <c r="Z70" s="126">
        <f>Z67</f>
        <v>90500000</v>
      </c>
      <c r="AA70" s="126">
        <f t="shared" ref="AA70" si="17">SUM(Y70+Z70)</f>
        <v>454964488.89120007</v>
      </c>
      <c r="AB70" s="136">
        <f t="shared" si="16"/>
        <v>9522842083.7151031</v>
      </c>
      <c r="AC70" s="72">
        <f>AB67+AB68</f>
        <v>9522842083.7151031</v>
      </c>
    </row>
    <row r="71" spans="1:30" ht="12" thickTop="1">
      <c r="A71" s="125" t="s">
        <v>160</v>
      </c>
      <c r="B71" s="125"/>
      <c r="C71" s="75">
        <v>0</v>
      </c>
      <c r="D71" s="75"/>
      <c r="E71" s="75">
        <v>0</v>
      </c>
      <c r="F71" s="75"/>
      <c r="G71" s="132">
        <v>0</v>
      </c>
      <c r="H71" s="132"/>
      <c r="I71" s="75">
        <v>0</v>
      </c>
      <c r="J71" s="75"/>
      <c r="K71" s="75">
        <v>0</v>
      </c>
      <c r="L71" s="75"/>
      <c r="M71" s="75">
        <v>0</v>
      </c>
      <c r="N71" s="75"/>
      <c r="O71" s="75">
        <v>0</v>
      </c>
      <c r="P71" s="75"/>
      <c r="Q71" s="75">
        <v>0</v>
      </c>
      <c r="R71" s="75"/>
      <c r="S71" s="75">
        <v>0</v>
      </c>
      <c r="T71" s="75"/>
      <c r="U71" s="75">
        <v>0</v>
      </c>
      <c r="V71" s="75"/>
      <c r="W71" s="75">
        <v>0</v>
      </c>
      <c r="X71" s="75"/>
      <c r="Y71" s="75">
        <f>'Program Totals'!J43</f>
        <v>322059980</v>
      </c>
      <c r="Z71" s="75">
        <v>0</v>
      </c>
      <c r="AA71" s="75">
        <f>Y71</f>
        <v>322059980</v>
      </c>
      <c r="AB71" s="74">
        <f t="shared" si="16"/>
        <v>322059980</v>
      </c>
    </row>
    <row r="72" spans="1:30">
      <c r="A72" s="123" t="s">
        <v>109</v>
      </c>
      <c r="B72" s="123"/>
      <c r="C72" s="75">
        <v>0</v>
      </c>
      <c r="D72" s="75"/>
      <c r="E72" s="75">
        <v>0</v>
      </c>
      <c r="F72" s="75"/>
      <c r="G72" s="132">
        <f>'Program Totals'!J13</f>
        <v>30000000</v>
      </c>
      <c r="H72" s="132"/>
      <c r="I72" s="75">
        <v>0</v>
      </c>
      <c r="J72" s="75"/>
      <c r="K72" s="75">
        <v>0</v>
      </c>
      <c r="L72" s="75"/>
      <c r="M72" s="75">
        <v>0</v>
      </c>
      <c r="N72" s="75"/>
      <c r="O72" s="75">
        <v>0</v>
      </c>
      <c r="P72" s="75"/>
      <c r="Q72" s="75">
        <v>0</v>
      </c>
      <c r="R72" s="75"/>
      <c r="S72" s="75">
        <v>0</v>
      </c>
      <c r="T72" s="75"/>
      <c r="U72" s="75">
        <v>0</v>
      </c>
      <c r="V72" s="75"/>
      <c r="W72" s="75">
        <v>0</v>
      </c>
      <c r="X72" s="75"/>
      <c r="Y72" s="75">
        <v>0</v>
      </c>
      <c r="Z72" s="75">
        <v>0</v>
      </c>
      <c r="AA72" s="75">
        <v>0</v>
      </c>
      <c r="AB72" s="74">
        <f t="shared" si="16"/>
        <v>30000000</v>
      </c>
    </row>
    <row r="73" spans="1:30">
      <c r="A73" s="72" t="s">
        <v>158</v>
      </c>
      <c r="C73" s="72">
        <v>0</v>
      </c>
      <c r="E73" s="72">
        <v>0</v>
      </c>
      <c r="G73" s="157">
        <v>0</v>
      </c>
      <c r="H73" s="157"/>
      <c r="I73" s="72">
        <v>0</v>
      </c>
      <c r="K73" s="72">
        <v>0</v>
      </c>
      <c r="M73" s="72">
        <v>0</v>
      </c>
      <c r="O73" s="72">
        <v>0</v>
      </c>
      <c r="Q73" s="72">
        <v>0</v>
      </c>
      <c r="S73" s="72">
        <v>5000000</v>
      </c>
      <c r="U73" s="72">
        <v>0</v>
      </c>
      <c r="W73" s="72">
        <v>0</v>
      </c>
      <c r="Y73" s="72">
        <v>0</v>
      </c>
      <c r="Z73" s="72">
        <v>0</v>
      </c>
      <c r="AA73" s="72">
        <v>0</v>
      </c>
      <c r="AB73" s="74">
        <f t="shared" si="16"/>
        <v>5000000</v>
      </c>
    </row>
    <row r="74" spans="1:30">
      <c r="A74" s="72" t="s">
        <v>159</v>
      </c>
      <c r="C74" s="72">
        <v>0</v>
      </c>
      <c r="E74" s="72">
        <v>0</v>
      </c>
      <c r="G74" s="157">
        <v>0</v>
      </c>
      <c r="H74" s="157"/>
      <c r="I74" s="72">
        <v>0</v>
      </c>
      <c r="K74" s="72">
        <v>0</v>
      </c>
      <c r="M74" s="72">
        <v>0</v>
      </c>
      <c r="O74" s="72">
        <f>'Program Totals'!J22</f>
        <v>1977966.0916902719</v>
      </c>
      <c r="Q74" s="72">
        <v>0</v>
      </c>
      <c r="S74" s="72">
        <v>0</v>
      </c>
      <c r="U74" s="72">
        <v>0</v>
      </c>
      <c r="W74" s="72">
        <v>0</v>
      </c>
      <c r="Y74" s="72">
        <v>0</v>
      </c>
      <c r="Z74" s="72">
        <v>0</v>
      </c>
      <c r="AA74" s="72">
        <v>0</v>
      </c>
      <c r="AB74" s="74">
        <f t="shared" si="16"/>
        <v>1977966.0916902719</v>
      </c>
    </row>
    <row r="75" spans="1:30" ht="12" thickBot="1">
      <c r="A75" s="130" t="s">
        <v>110</v>
      </c>
      <c r="B75" s="130"/>
      <c r="C75" s="130">
        <f>C70+C71+C72+C73+C74</f>
        <v>115053392.56479199</v>
      </c>
      <c r="D75" s="130"/>
      <c r="E75" s="130">
        <f t="shared" ref="E75:AA75" si="18">E70+E71+E72+E73+E74</f>
        <v>24034364.404250551</v>
      </c>
      <c r="F75" s="130"/>
      <c r="G75" s="130">
        <f t="shared" si="18"/>
        <v>5280746610.6224508</v>
      </c>
      <c r="H75" s="158"/>
      <c r="I75" s="130">
        <f t="shared" si="18"/>
        <v>24135588.030923966</v>
      </c>
      <c r="J75" s="130"/>
      <c r="K75" s="130">
        <f t="shared" si="18"/>
        <v>279646188.34793764</v>
      </c>
      <c r="L75" s="130"/>
      <c r="M75" s="130">
        <f t="shared" si="18"/>
        <v>674686117.64497066</v>
      </c>
      <c r="N75" s="130"/>
      <c r="O75" s="130">
        <f t="shared" si="18"/>
        <v>13186440.611268479</v>
      </c>
      <c r="P75" s="130"/>
      <c r="Q75" s="130">
        <f t="shared" si="18"/>
        <v>20000000</v>
      </c>
      <c r="R75" s="130"/>
      <c r="S75" s="130">
        <f t="shared" si="18"/>
        <v>35000000</v>
      </c>
      <c r="T75" s="130"/>
      <c r="U75" s="130">
        <f t="shared" si="18"/>
        <v>2563173403.2163634</v>
      </c>
      <c r="V75" s="130"/>
      <c r="W75" s="130">
        <f t="shared" si="18"/>
        <v>75193455.472636491</v>
      </c>
      <c r="X75" s="130"/>
      <c r="Y75" s="130">
        <f t="shared" si="18"/>
        <v>686524468.89120007</v>
      </c>
      <c r="Z75" s="130">
        <f t="shared" si="18"/>
        <v>90500000</v>
      </c>
      <c r="AA75" s="130">
        <f t="shared" si="18"/>
        <v>777024468.89120007</v>
      </c>
      <c r="AB75" s="136">
        <f t="shared" si="16"/>
        <v>9881880029.8067932</v>
      </c>
      <c r="AC75" s="72">
        <f>'Program Totals'!J61</f>
        <v>9881880029.8067932</v>
      </c>
      <c r="AD75" s="72">
        <f>AC70+AB71+AB72+AB73+AB74</f>
        <v>9881880029.8067932</v>
      </c>
    </row>
    <row r="76" spans="1:30" ht="12" hidden="1" thickTop="1">
      <c r="AC76" s="72">
        <f>AB70+AB71+AB72+AB73+AB74</f>
        <v>9881880029.8067932</v>
      </c>
    </row>
    <row r="77" spans="1:30" hidden="1">
      <c r="G77" s="72">
        <f>'Program Totals'!J14</f>
        <v>4772982018.1538696</v>
      </c>
      <c r="M77" s="72">
        <f>'Program Totals'!J18</f>
        <v>591135589.95215547</v>
      </c>
      <c r="Y77" s="100"/>
    </row>
    <row r="78" spans="1:30" hidden="1">
      <c r="A78" s="72" t="s">
        <v>111</v>
      </c>
    </row>
    <row r="79" spans="1:30" hidden="1">
      <c r="G79" s="157">
        <f>'Program Totals'!J46</f>
        <v>293311065.98410153</v>
      </c>
      <c r="H79" s="157">
        <f>G79*0.715147032</f>
        <v>209760538.29128635</v>
      </c>
      <c r="I79" s="72">
        <f>G79-H79</f>
        <v>83550527.692815185</v>
      </c>
    </row>
    <row r="80" spans="1:30" hidden="1">
      <c r="G80" s="72">
        <f>'Program Totals'!J47</f>
        <v>268004054.17729449</v>
      </c>
      <c r="I80" s="72">
        <f t="shared" ref="I80:AB80" si="19">SUM(I10:I66)-I67</f>
        <v>0</v>
      </c>
      <c r="K80" s="72">
        <f t="shared" si="19"/>
        <v>0</v>
      </c>
      <c r="M80" s="72">
        <f t="shared" si="19"/>
        <v>0</v>
      </c>
      <c r="O80" s="72">
        <f t="shared" si="19"/>
        <v>0</v>
      </c>
      <c r="Q80" s="72">
        <f t="shared" si="19"/>
        <v>0</v>
      </c>
      <c r="S80" s="72">
        <f t="shared" si="19"/>
        <v>0</v>
      </c>
      <c r="U80" s="72">
        <f t="shared" si="19"/>
        <v>0</v>
      </c>
      <c r="W80" s="72">
        <f t="shared" si="19"/>
        <v>0</v>
      </c>
      <c r="Y80" s="72">
        <f t="shared" si="19"/>
        <v>0</v>
      </c>
      <c r="Z80" s="72">
        <f t="shared" si="19"/>
        <v>0</v>
      </c>
      <c r="AA80" s="72">
        <f t="shared" si="19"/>
        <v>0</v>
      </c>
      <c r="AB80" s="72">
        <f t="shared" si="19"/>
        <v>0</v>
      </c>
    </row>
    <row r="81" spans="25:27" ht="12" thickTop="1"/>
    <row r="88" spans="25:27">
      <c r="Y88" s="43"/>
      <c r="Z88" s="43"/>
      <c r="AA88" s="43"/>
    </row>
    <row r="94" spans="25:27">
      <c r="Y94" s="43"/>
      <c r="Z94" s="43"/>
      <c r="AA94" s="43"/>
    </row>
  </sheetData>
  <mergeCells count="8">
    <mergeCell ref="U7:W7"/>
    <mergeCell ref="A1:AB1"/>
    <mergeCell ref="A2:AB2"/>
    <mergeCell ref="A3:AB3"/>
    <mergeCell ref="A4:AB4"/>
    <mergeCell ref="C5:AB5"/>
    <mergeCell ref="U6:W6"/>
    <mergeCell ref="Y6:Z6"/>
  </mergeCells>
  <pageMargins left="0.7" right="0.7" top="0.75" bottom="0.75" header="0.3" footer="0.3"/>
  <pageSetup orientation="portrait" horizontalDpi="4294967295" verticalDpi="429496729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C32885D8C4D0418A97624D3BF3467F" ma:contentTypeVersion="0" ma:contentTypeDescription="Create a new document." ma:contentTypeScope="" ma:versionID="59ccde648de7efde662ca4102f437348">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EB098-9D94-4661-8D84-B7026F1FAF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A78B63D-BBD2-41A9-9A97-5DFA64600855}">
  <ds:schemaRefs>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293A0272-2AF6-4640-8B88-73467C6003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NOTES</vt:lpstr>
      <vt:lpstr>Budget STRRA</vt:lpstr>
      <vt:lpstr>FY 15</vt:lpstr>
      <vt:lpstr>FY 16</vt:lpstr>
      <vt:lpstr>State totals FY 15-21</vt:lpstr>
      <vt:lpstr>Revised state totals </vt:lpstr>
      <vt:lpstr>FY 17</vt:lpstr>
      <vt:lpstr>FY18</vt:lpstr>
      <vt:lpstr>FY19</vt:lpstr>
      <vt:lpstr>FY20</vt:lpstr>
      <vt:lpstr>State Totals</vt:lpstr>
      <vt:lpstr>Program Totals</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Jeffrey Davis</cp:lastModifiedBy>
  <cp:lastPrinted>2015-12-03T15:58:29Z</cp:lastPrinted>
  <dcterms:created xsi:type="dcterms:W3CDTF">2014-12-04T17:19:14Z</dcterms:created>
  <dcterms:modified xsi:type="dcterms:W3CDTF">2015-12-03T16:04:09Z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0x010100FCC32885D8C4D0418A97624D3BF3467F</vt:lpwstr>
  </property>
</Properties>
</file>